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 activeTab="2"/>
  </bookViews>
  <sheets>
    <sheet name="ORÇAMENTO" sheetId="1" r:id="rId1"/>
    <sheet name="CRONOGRAMA" sheetId="2" r:id="rId2"/>
    <sheet name="BDI" sheetId="6" r:id="rId3"/>
  </sheets>
  <externalReferences>
    <externalReference r:id="rId4"/>
  </externalReferences>
  <definedNames>
    <definedName name="_xlnm._FilterDatabase" localSheetId="0" hidden="1">ORÇAMENTO!$A$10:$G$47</definedName>
    <definedName name="_xlnm.Print_Area" localSheetId="1">CRONOGRAMA!$A$1:$AV$32</definedName>
    <definedName name="_xlnm.Print_Area" localSheetId="0">ORÇAMENTO!$A$1:$G$55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I26" i="6" l="1"/>
  <c r="H26" i="6"/>
  <c r="G26" i="6"/>
  <c r="D26" i="6"/>
  <c r="E26" i="6" s="1"/>
  <c r="D19" i="6"/>
  <c r="F18" i="6"/>
  <c r="F17" i="6"/>
  <c r="C17" i="6"/>
  <c r="F16" i="6"/>
  <c r="C16" i="6"/>
  <c r="F15" i="6"/>
  <c r="C15" i="6"/>
  <c r="F14" i="6"/>
  <c r="C14" i="6"/>
  <c r="C18" i="6" s="1"/>
  <c r="AI8" i="2"/>
  <c r="T9" i="2"/>
  <c r="AJ9" i="2" s="1"/>
  <c r="T8" i="2"/>
  <c r="AJ8" i="2" s="1"/>
  <c r="S8" i="2"/>
  <c r="R8" i="2"/>
  <c r="AH8" i="2" s="1"/>
  <c r="Q8" i="2"/>
  <c r="AG8" i="2" s="1"/>
  <c r="AG18" i="2"/>
  <c r="Q18" i="2"/>
  <c r="A31" i="2"/>
  <c r="Q31" i="2" s="1"/>
  <c r="AG16" i="2"/>
  <c r="R26" i="2"/>
  <c r="AH26" i="2" s="1"/>
  <c r="R25" i="2"/>
  <c r="AH25" i="2" s="1"/>
  <c r="R24" i="2"/>
  <c r="AH24" i="2" s="1"/>
  <c r="Q6" i="2"/>
  <c r="AG6" i="2" s="1"/>
  <c r="Q12" i="2"/>
  <c r="AG12" i="2" s="1"/>
  <c r="Q13" i="2"/>
  <c r="AG13" i="2" s="1"/>
  <c r="Q14" i="2"/>
  <c r="AG14" i="2" s="1"/>
  <c r="Q15" i="2"/>
  <c r="AG15" i="2" s="1"/>
  <c r="Q16" i="2"/>
  <c r="Q17" i="2"/>
  <c r="AG17" i="2" s="1"/>
  <c r="Q11" i="2"/>
  <c r="AG11" i="2" s="1"/>
  <c r="Q10" i="2"/>
  <c r="AG10" i="2" s="1"/>
  <c r="C19" i="6" l="1"/>
  <c r="C24" i="6"/>
  <c r="C25" i="6" s="1"/>
  <c r="AG31" i="2"/>
  <c r="B18" i="2"/>
  <c r="R18" i="2" s="1"/>
  <c r="AH18" i="2" s="1"/>
  <c r="B17" i="2"/>
  <c r="R17" i="2" s="1"/>
  <c r="AH17" i="2" s="1"/>
  <c r="B16" i="2"/>
  <c r="R16" i="2" s="1"/>
  <c r="AH16" i="2" s="1"/>
  <c r="B15" i="2"/>
  <c r="R15" i="2" s="1"/>
  <c r="AH15" i="2" s="1"/>
  <c r="B14" i="2"/>
  <c r="R14" i="2" s="1"/>
  <c r="AH14" i="2" s="1"/>
  <c r="B13" i="2"/>
  <c r="R13" i="2" s="1"/>
  <c r="AH13" i="2" s="1"/>
  <c r="B12" i="2"/>
  <c r="R12" i="2" s="1"/>
  <c r="AH12" i="2" s="1"/>
  <c r="B11" i="2"/>
  <c r="R11" i="2" s="1"/>
  <c r="AH11" i="2" s="1"/>
  <c r="I15" i="1"/>
  <c r="F15" i="1" s="1"/>
  <c r="G15" i="1" s="1"/>
  <c r="C11" i="2" s="1"/>
  <c r="S11" i="2" s="1"/>
  <c r="AI11" i="2" s="1"/>
  <c r="I16" i="1"/>
  <c r="I19" i="1"/>
  <c r="I20" i="1"/>
  <c r="F20" i="1" s="1"/>
  <c r="G20" i="1" s="1"/>
  <c r="I23" i="1"/>
  <c r="I24" i="1"/>
  <c r="F24" i="1" s="1"/>
  <c r="G24" i="1" s="1"/>
  <c r="I27" i="1"/>
  <c r="F27" i="1" s="1"/>
  <c r="G27" i="1" s="1"/>
  <c r="C14" i="2" s="1"/>
  <c r="S14" i="2" s="1"/>
  <c r="AI14" i="2" s="1"/>
  <c r="I28" i="1"/>
  <c r="F28" i="1" s="1"/>
  <c r="G28" i="1" s="1"/>
  <c r="I31" i="1"/>
  <c r="F31" i="1" s="1"/>
  <c r="G31" i="1" s="1"/>
  <c r="C15" i="2" s="1"/>
  <c r="S15" i="2" s="1"/>
  <c r="AI15" i="2" s="1"/>
  <c r="I32" i="1"/>
  <c r="I35" i="1"/>
  <c r="F35" i="1" s="1"/>
  <c r="G35" i="1" s="1"/>
  <c r="I36" i="1"/>
  <c r="F36" i="1" s="1"/>
  <c r="G36" i="1" s="1"/>
  <c r="I39" i="1"/>
  <c r="I42" i="1"/>
  <c r="F42" i="1" s="1"/>
  <c r="G42" i="1" s="1"/>
  <c r="I43" i="1"/>
  <c r="F43" i="1" s="1"/>
  <c r="G43" i="1" s="1"/>
  <c r="F16" i="1"/>
  <c r="G16" i="1" s="1"/>
  <c r="F19" i="1"/>
  <c r="G19" i="1" s="1"/>
  <c r="F23" i="1"/>
  <c r="G23" i="1" s="1"/>
  <c r="F32" i="1"/>
  <c r="G32" i="1" s="1"/>
  <c r="F39" i="1"/>
  <c r="G39" i="1" s="1"/>
  <c r="C17" i="2" s="1"/>
  <c r="S17" i="2" s="1"/>
  <c r="AI17" i="2" s="1"/>
  <c r="C18" i="2" l="1"/>
  <c r="S18" i="2" s="1"/>
  <c r="AI18" i="2" s="1"/>
  <c r="C13" i="2"/>
  <c r="S13" i="2" s="1"/>
  <c r="AI13" i="2" s="1"/>
  <c r="C16" i="2"/>
  <c r="S16" i="2" s="1"/>
  <c r="AI16" i="2" s="1"/>
  <c r="C12" i="2"/>
  <c r="S12" i="2" s="1"/>
  <c r="AI12" i="2" s="1"/>
  <c r="F10" i="2" l="1"/>
  <c r="H10" i="2" s="1"/>
  <c r="J10" i="2" s="1"/>
  <c r="L10" i="2" s="1"/>
  <c r="N10" i="2" s="1"/>
  <c r="P10" i="2" s="1"/>
  <c r="F11" i="2"/>
  <c r="H11" i="2" s="1"/>
  <c r="J11" i="2" s="1"/>
  <c r="L11" i="2" s="1"/>
  <c r="N11" i="2" s="1"/>
  <c r="P11" i="2" s="1"/>
  <c r="F12" i="2"/>
  <c r="H12" i="2" s="1"/>
  <c r="J12" i="2" s="1"/>
  <c r="L12" i="2" s="1"/>
  <c r="N12" i="2" s="1"/>
  <c r="P12" i="2" s="1"/>
  <c r="F13" i="2"/>
  <c r="H13" i="2" s="1"/>
  <c r="J13" i="2" s="1"/>
  <c r="L13" i="2" s="1"/>
  <c r="N13" i="2" s="1"/>
  <c r="P13" i="2" s="1"/>
  <c r="F14" i="2"/>
  <c r="H14" i="2" s="1"/>
  <c r="J14" i="2" s="1"/>
  <c r="L14" i="2" s="1"/>
  <c r="N14" i="2" s="1"/>
  <c r="P14" i="2" s="1"/>
  <c r="F15" i="2"/>
  <c r="H15" i="2" s="1"/>
  <c r="J15" i="2" s="1"/>
  <c r="L15" i="2" s="1"/>
  <c r="N15" i="2" s="1"/>
  <c r="P15" i="2" s="1"/>
  <c r="F16" i="2"/>
  <c r="H16" i="2" s="1"/>
  <c r="J16" i="2" s="1"/>
  <c r="L16" i="2" s="1"/>
  <c r="N16" i="2" s="1"/>
  <c r="P16" i="2" s="1"/>
  <c r="F17" i="2"/>
  <c r="H17" i="2" s="1"/>
  <c r="J17" i="2" s="1"/>
  <c r="L17" i="2" s="1"/>
  <c r="N17" i="2" s="1"/>
  <c r="P17" i="2" s="1"/>
  <c r="F18" i="2"/>
  <c r="H18" i="2" s="1"/>
  <c r="J18" i="2" s="1"/>
  <c r="L18" i="2" s="1"/>
  <c r="N18" i="2" s="1"/>
  <c r="P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22" i="2"/>
  <c r="H22" i="2" s="1"/>
  <c r="J22" i="2" s="1"/>
  <c r="L22" i="2" s="1"/>
  <c r="N22" i="2" s="1"/>
  <c r="P22" i="2" s="1"/>
  <c r="F23" i="2"/>
  <c r="H23" i="2" s="1"/>
  <c r="J23" i="2" s="1"/>
  <c r="L23" i="2" s="1"/>
  <c r="N23" i="2" s="1"/>
  <c r="P23" i="2" s="1"/>
  <c r="B10" i="2"/>
  <c r="R10" i="2" s="1"/>
  <c r="AH10" i="2" s="1"/>
  <c r="I12" i="1"/>
  <c r="V20" i="2" l="1"/>
  <c r="X20" i="2" s="1"/>
  <c r="Z20" i="2" s="1"/>
  <c r="AB20" i="2" s="1"/>
  <c r="AD20" i="2" s="1"/>
  <c r="AF20" i="2" s="1"/>
  <c r="AL20" i="2" s="1"/>
  <c r="AN20" i="2" s="1"/>
  <c r="AP20" i="2" s="1"/>
  <c r="AR20" i="2" s="1"/>
  <c r="AT20" i="2" s="1"/>
  <c r="AV20" i="2" s="1"/>
  <c r="AX20" i="2" s="1"/>
  <c r="V19" i="2"/>
  <c r="X19" i="2" s="1"/>
  <c r="Z19" i="2" s="1"/>
  <c r="AB19" i="2" s="1"/>
  <c r="AD19" i="2" s="1"/>
  <c r="AF19" i="2" s="1"/>
  <c r="AL19" i="2" s="1"/>
  <c r="AN19" i="2" s="1"/>
  <c r="AP19" i="2" s="1"/>
  <c r="AR19" i="2" s="1"/>
  <c r="AT19" i="2" s="1"/>
  <c r="AV19" i="2" s="1"/>
  <c r="AX19" i="2" s="1"/>
  <c r="V11" i="2"/>
  <c r="X11" i="2" s="1"/>
  <c r="Z11" i="2" s="1"/>
  <c r="AB11" i="2" s="1"/>
  <c r="AD11" i="2" s="1"/>
  <c r="AF11" i="2" s="1"/>
  <c r="AL11" i="2" s="1"/>
  <c r="AN11" i="2" s="1"/>
  <c r="AP11" i="2" s="1"/>
  <c r="AR11" i="2" s="1"/>
  <c r="AT11" i="2" s="1"/>
  <c r="AV11" i="2" s="1"/>
  <c r="AX11" i="2" s="1"/>
  <c r="V12" i="2"/>
  <c r="X12" i="2" s="1"/>
  <c r="Z12" i="2" s="1"/>
  <c r="AB12" i="2" s="1"/>
  <c r="AD12" i="2" s="1"/>
  <c r="AF12" i="2" s="1"/>
  <c r="AL12" i="2" s="1"/>
  <c r="AN12" i="2" s="1"/>
  <c r="AP12" i="2" s="1"/>
  <c r="AR12" i="2" s="1"/>
  <c r="AT12" i="2" s="1"/>
  <c r="AV12" i="2" s="1"/>
  <c r="AX12" i="2" s="1"/>
  <c r="V15" i="2"/>
  <c r="X15" i="2" s="1"/>
  <c r="Z15" i="2" s="1"/>
  <c r="AB15" i="2" s="1"/>
  <c r="AD15" i="2" s="1"/>
  <c r="AF15" i="2" s="1"/>
  <c r="AL15" i="2" s="1"/>
  <c r="AN15" i="2" s="1"/>
  <c r="AP15" i="2" s="1"/>
  <c r="AR15" i="2" s="1"/>
  <c r="AT15" i="2" s="1"/>
  <c r="AV15" i="2" s="1"/>
  <c r="AX15" i="2" s="1"/>
  <c r="V14" i="2"/>
  <c r="X14" i="2" s="1"/>
  <c r="Z14" i="2" s="1"/>
  <c r="AB14" i="2" s="1"/>
  <c r="AD14" i="2" s="1"/>
  <c r="AF14" i="2" s="1"/>
  <c r="AL14" i="2" s="1"/>
  <c r="AN14" i="2" s="1"/>
  <c r="AP14" i="2" s="1"/>
  <c r="AR14" i="2" s="1"/>
  <c r="AT14" i="2" s="1"/>
  <c r="AV14" i="2" s="1"/>
  <c r="AX14" i="2" s="1"/>
  <c r="V21" i="2"/>
  <c r="X21" i="2" s="1"/>
  <c r="Z21" i="2" s="1"/>
  <c r="AB21" i="2" s="1"/>
  <c r="AD21" i="2" s="1"/>
  <c r="AF21" i="2" s="1"/>
  <c r="AL21" i="2" s="1"/>
  <c r="AN21" i="2" s="1"/>
  <c r="AP21" i="2" s="1"/>
  <c r="AR21" i="2" s="1"/>
  <c r="AT21" i="2" s="1"/>
  <c r="AV21" i="2" s="1"/>
  <c r="AX21" i="2" s="1"/>
  <c r="V18" i="2"/>
  <c r="X18" i="2" s="1"/>
  <c r="Z18" i="2" s="1"/>
  <c r="AB18" i="2" s="1"/>
  <c r="AD18" i="2" s="1"/>
  <c r="AF18" i="2" s="1"/>
  <c r="AL18" i="2" s="1"/>
  <c r="AN18" i="2" s="1"/>
  <c r="AP18" i="2" s="1"/>
  <c r="AR18" i="2" s="1"/>
  <c r="AT18" i="2" s="1"/>
  <c r="AV18" i="2" s="1"/>
  <c r="AX18" i="2" s="1"/>
  <c r="V10" i="2"/>
  <c r="X10" i="2" s="1"/>
  <c r="Z10" i="2" s="1"/>
  <c r="AB10" i="2" s="1"/>
  <c r="AD10" i="2" s="1"/>
  <c r="AF10" i="2" s="1"/>
  <c r="AL10" i="2" s="1"/>
  <c r="AN10" i="2" s="1"/>
  <c r="AP10" i="2" s="1"/>
  <c r="AR10" i="2" s="1"/>
  <c r="AT10" i="2" s="1"/>
  <c r="AV10" i="2" s="1"/>
  <c r="AX10" i="2" s="1"/>
  <c r="V22" i="2"/>
  <c r="X22" i="2" s="1"/>
  <c r="Z22" i="2" s="1"/>
  <c r="AB22" i="2" s="1"/>
  <c r="AD22" i="2" s="1"/>
  <c r="AF22" i="2" s="1"/>
  <c r="AL22" i="2" s="1"/>
  <c r="AN22" i="2" s="1"/>
  <c r="AP22" i="2" s="1"/>
  <c r="AR22" i="2" s="1"/>
  <c r="AT22" i="2" s="1"/>
  <c r="AV22" i="2" s="1"/>
  <c r="AX22" i="2" s="1"/>
  <c r="V23" i="2"/>
  <c r="X23" i="2" s="1"/>
  <c r="Z23" i="2" s="1"/>
  <c r="AB23" i="2" s="1"/>
  <c r="AD23" i="2" s="1"/>
  <c r="AF23" i="2" s="1"/>
  <c r="AL23" i="2" s="1"/>
  <c r="AN23" i="2" s="1"/>
  <c r="AP23" i="2" s="1"/>
  <c r="AR23" i="2" s="1"/>
  <c r="AT23" i="2" s="1"/>
  <c r="AV23" i="2" s="1"/>
  <c r="AX23" i="2" s="1"/>
  <c r="V13" i="2"/>
  <c r="X13" i="2" s="1"/>
  <c r="Z13" i="2" s="1"/>
  <c r="AB13" i="2" s="1"/>
  <c r="AD13" i="2" s="1"/>
  <c r="AF13" i="2" s="1"/>
  <c r="AL13" i="2" s="1"/>
  <c r="AN13" i="2" s="1"/>
  <c r="AP13" i="2" s="1"/>
  <c r="AR13" i="2" s="1"/>
  <c r="AT13" i="2" s="1"/>
  <c r="AV13" i="2" s="1"/>
  <c r="AX13" i="2" s="1"/>
  <c r="V16" i="2"/>
  <c r="X16" i="2" s="1"/>
  <c r="Z16" i="2" s="1"/>
  <c r="AB16" i="2" s="1"/>
  <c r="AD16" i="2" s="1"/>
  <c r="AF16" i="2" s="1"/>
  <c r="AL16" i="2" s="1"/>
  <c r="AN16" i="2" s="1"/>
  <c r="AP16" i="2" s="1"/>
  <c r="AR16" i="2" s="1"/>
  <c r="AT16" i="2" s="1"/>
  <c r="AV16" i="2" s="1"/>
  <c r="AX16" i="2" s="1"/>
  <c r="V17" i="2"/>
  <c r="X17" i="2" s="1"/>
  <c r="Z17" i="2" s="1"/>
  <c r="AB17" i="2" s="1"/>
  <c r="AD17" i="2" s="1"/>
  <c r="AF17" i="2" s="1"/>
  <c r="AL17" i="2" s="1"/>
  <c r="AN17" i="2" s="1"/>
  <c r="AP17" i="2" s="1"/>
  <c r="AR17" i="2" s="1"/>
  <c r="AT17" i="2" s="1"/>
  <c r="AV17" i="2" s="1"/>
  <c r="AX17" i="2" s="1"/>
  <c r="F12" i="1"/>
  <c r="G12" i="1" s="1"/>
  <c r="C10" i="2" s="1"/>
  <c r="S10" i="2" s="1"/>
  <c r="AI10" i="2" l="1"/>
  <c r="AI25" i="2" s="1"/>
  <c r="AI24" i="2" s="1"/>
  <c r="S25" i="2"/>
  <c r="S24" i="2" s="1"/>
  <c r="C25" i="2"/>
  <c r="A5" i="2"/>
  <c r="Q5" i="2" s="1"/>
  <c r="AG5" i="2" s="1"/>
  <c r="C24" i="2" l="1"/>
  <c r="D15" i="2"/>
  <c r="T15" i="2" s="1"/>
  <c r="AJ15" i="2" s="1"/>
  <c r="D17" i="2"/>
  <c r="T17" i="2" s="1"/>
  <c r="AJ17" i="2" s="1"/>
  <c r="D18" i="2"/>
  <c r="T18" i="2" s="1"/>
  <c r="AJ18" i="2" s="1"/>
  <c r="D16" i="2"/>
  <c r="T16" i="2" s="1"/>
  <c r="AJ16" i="2" s="1"/>
  <c r="D14" i="2"/>
  <c r="T14" i="2" s="1"/>
  <c r="AJ14" i="2" s="1"/>
  <c r="D10" i="2" l="1"/>
  <c r="T10" i="2" s="1"/>
  <c r="AJ10" i="2" s="1"/>
  <c r="D12" i="2"/>
  <c r="T12" i="2" s="1"/>
  <c r="AJ12" i="2" s="1"/>
  <c r="D13" i="2"/>
  <c r="T13" i="2" s="1"/>
  <c r="AJ13" i="2" s="1"/>
  <c r="D11" i="2"/>
  <c r="T11" i="2" s="1"/>
  <c r="AJ11" i="2" s="1"/>
  <c r="A4" i="2"/>
  <c r="Q4" i="2" s="1"/>
  <c r="AG4" i="2" s="1"/>
  <c r="AJ24" i="2" l="1"/>
  <c r="AJ25" i="2" s="1"/>
  <c r="T24" i="2"/>
  <c r="T25" i="2" s="1"/>
  <c r="U24" i="2"/>
  <c r="U25" i="2" s="1"/>
  <c r="AO24" i="2"/>
  <c r="AO25" i="2" s="1"/>
  <c r="W24" i="2"/>
  <c r="W25" i="2" s="1"/>
  <c r="AQ24" i="2"/>
  <c r="AQ25" i="2" s="1"/>
  <c r="Y24" i="2"/>
  <c r="Y25" i="2" s="1"/>
  <c r="AS24" i="2"/>
  <c r="AS25" i="2" s="1"/>
  <c r="AA24" i="2"/>
  <c r="AA25" i="2" s="1"/>
  <c r="AU24" i="2"/>
  <c r="AU25" i="2" s="1"/>
  <c r="AM24" i="2"/>
  <c r="AM25" i="2" s="1"/>
  <c r="AC24" i="2"/>
  <c r="AC25" i="2" s="1"/>
  <c r="O24" i="2"/>
  <c r="O25" i="2" s="1"/>
  <c r="AE24" i="2"/>
  <c r="AE25" i="2" s="1"/>
  <c r="AK24" i="2"/>
  <c r="AK25" i="2" s="1"/>
  <c r="M24" i="2"/>
  <c r="M25" i="2" s="1"/>
  <c r="K24" i="2"/>
  <c r="K25" i="2" s="1"/>
  <c r="G24" i="2"/>
  <c r="G25" i="2" s="1"/>
  <c r="I24" i="2"/>
  <c r="I25" i="2" s="1"/>
  <c r="E24" i="2"/>
  <c r="D24" i="2"/>
  <c r="D25" i="2" s="1"/>
  <c r="F24" i="2" l="1"/>
  <c r="E25" i="2"/>
  <c r="H24" i="2"/>
  <c r="J24" i="2" s="1"/>
  <c r="L24" i="2" s="1"/>
  <c r="N24" i="2" s="1"/>
  <c r="P24" i="2" s="1"/>
  <c r="V24" i="2" s="1"/>
  <c r="X24" i="2" s="1"/>
  <c r="Z24" i="2" s="1"/>
  <c r="AB24" i="2" s="1"/>
  <c r="AD24" i="2" s="1"/>
  <c r="AF24" i="2" s="1"/>
  <c r="AL24" i="2" s="1"/>
  <c r="AN24" i="2" s="1"/>
  <c r="AP24" i="2" s="1"/>
  <c r="AR24" i="2" s="1"/>
  <c r="AT24" i="2" s="1"/>
  <c r="AV24" i="2" s="1"/>
  <c r="G49" i="1"/>
  <c r="M10" i="1" l="1"/>
  <c r="E26" i="2" l="1"/>
  <c r="G26" i="2" l="1"/>
  <c r="I26" i="2" s="1"/>
  <c r="K26" i="2" s="1"/>
  <c r="M26" i="2" s="1"/>
  <c r="O26" i="2" s="1"/>
  <c r="U26" i="2" s="1"/>
  <c r="W26" i="2" s="1"/>
  <c r="Y26" i="2" s="1"/>
  <c r="AA26" i="2" s="1"/>
  <c r="AC26" i="2" s="1"/>
  <c r="AE26" i="2" s="1"/>
  <c r="AK26" i="2" s="1"/>
  <c r="AM26" i="2" s="1"/>
  <c r="AO26" i="2" s="1"/>
  <c r="AQ26" i="2" s="1"/>
  <c r="AS26" i="2" s="1"/>
  <c r="AU26" i="2" s="1"/>
</calcChain>
</file>

<file path=xl/sharedStrings.xml><?xml version="1.0" encoding="utf-8"?>
<sst xmlns="http://schemas.openxmlformats.org/spreadsheetml/2006/main" count="197" uniqueCount="139">
  <si>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</si>
  <si>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</si>
  <si>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</si>
  <si>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</si>
  <si>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</si>
  <si>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</si>
  <si>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</si>
  <si>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</si>
  <si>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</si>
  <si>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</si>
  <si>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</si>
  <si>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</si>
  <si>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</si>
  <si>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</si>
  <si>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</si>
  <si>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</si>
  <si>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</si>
  <si>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</si>
  <si>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</si>
  <si>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</si>
  <si>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</si>
  <si>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</si>
  <si>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</si>
  <si>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</si>
  <si>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</si>
  <si>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Investimento</t>
  </si>
  <si>
    <t>TOTAL (%)</t>
  </si>
  <si>
    <t>TOTAL (R$)</t>
  </si>
  <si>
    <t>ACUMULADO (R$)</t>
  </si>
  <si>
    <t>CORONEL VIVIDA, XX DE XXXXXXXXXXX DE 2017</t>
  </si>
  <si>
    <t>PESO</t>
  </si>
  <si>
    <t>%</t>
  </si>
  <si>
    <t>Local/data</t>
  </si>
  <si>
    <t>Responsável Técnico</t>
  </si>
  <si>
    <t>2.1</t>
  </si>
  <si>
    <t>2.2</t>
  </si>
  <si>
    <t>3.1</t>
  </si>
  <si>
    <t>3.2</t>
  </si>
  <si>
    <t>4.1</t>
  </si>
  <si>
    <t>4.2</t>
  </si>
  <si>
    <t>5.2</t>
  </si>
  <si>
    <t>5.3</t>
  </si>
  <si>
    <t>MOVIMENTO DE TERRA</t>
  </si>
  <si>
    <t>m²</t>
  </si>
  <si>
    <t>OBJETO: PAVIMENTAÇÃO POLIÉDRICA EM VIAS RURAIS DE ACESSO A COMUNIDADE DE LINHA TORTELLI</t>
  </si>
  <si>
    <t>LOCALIZAÇÃO: COMUNIDADE DE LINHA TORTELLI</t>
  </si>
  <si>
    <t>6.1</t>
  </si>
  <si>
    <t>6.2</t>
  </si>
  <si>
    <t>7.1</t>
  </si>
  <si>
    <t>7.2</t>
  </si>
  <si>
    <t>8.1</t>
  </si>
  <si>
    <t>9.1</t>
  </si>
  <si>
    <t>9.2</t>
  </si>
  <si>
    <t>74209/1</t>
  </si>
  <si>
    <t>SERVIÇOS INICIAIS</t>
  </si>
  <si>
    <t>PLACA DE OBRA EM CHAPA DE ACO GALVANIZADO (4,00X2,00M)</t>
  </si>
  <si>
    <t>M2</t>
  </si>
  <si>
    <t>ESCARIFICAÇÃO, REGULARIZAÇÃO COMPACTAÇÃO DO SUBLEITO</t>
  </si>
  <si>
    <t>ESCAVAÇÃO DE VALA LATERAL RASA C MOTONIVELADORA</t>
  </si>
  <si>
    <t>M</t>
  </si>
  <si>
    <t>PREPARAÇÃO DE CANCHA</t>
  </si>
  <si>
    <t>TRANSPORTE COMERCIAL - CAMINHÃO BASCULANTE (RESTIMENTO PRIMARIO (DMT-5KM)</t>
  </si>
  <si>
    <t>T</t>
  </si>
  <si>
    <t>COLCHAO COM ARGILA PARA PAVIMENTO POLIEDRICO</t>
  </si>
  <si>
    <t>PAVIMENTAÇÃO</t>
  </si>
  <si>
    <t>EXTRAÇÃO, CARGA, PREPARO, E ASSENTAMENTO DO POLIÉDRO</t>
  </si>
  <si>
    <t>TRANSPORTE COMERCIAL - CAMINHÃO BASCULANTE (RESTIMENTO PRIMARIO (DMT-22KM)</t>
  </si>
  <si>
    <t>MEIO FIO</t>
  </si>
  <si>
    <t>EXTRAÇÃO, CARGA E ASSENTAMENTO DE CORDÃO LATERAL DE PEDRA PARA PAVIMENTO POLIÉDRICO</t>
  </si>
  <si>
    <t>REJUNTE</t>
  </si>
  <si>
    <t>ENCHIMENTO COM ARGILA PARA PAVIMENTO POLIEDRICO</t>
  </si>
  <si>
    <t>CONTENÇÃO LATERAL</t>
  </si>
  <si>
    <t>CONTENCAO LATERAL COM SOLO LOCAL PARA PAVIMENTO POLIEDRICO</t>
  </si>
  <si>
    <t>FORNECIMENTO E PLANTIO DE ERVA CIDREIRA P/ PAVIMENTO POLIÉDRICO</t>
  </si>
  <si>
    <t>COMPACTAÇÃO</t>
  </si>
  <si>
    <t>COMPACTACAO DE PAVIMENTO POLIEDRICO</t>
  </si>
  <si>
    <t>SINALIZAÇÃO</t>
  </si>
  <si>
    <t>SUPORTE METÁL.GALV.FOGO D=2,5" C/TAMPA E ALETAS ANTI-GIRO H=3,00M</t>
  </si>
  <si>
    <t>UND</t>
  </si>
  <si>
    <t xml:space="preserve">PLACA SINALIZAÇÃO C/ PELÍCULA REFLETIVA </t>
  </si>
  <si>
    <t>PLANILHAS UTILIZADAS</t>
  </si>
  <si>
    <t>DER - OUTUBRO/2016                                 SINAPI - MARÇO/2017</t>
  </si>
  <si>
    <t>Mês 07</t>
  </si>
  <si>
    <t>Mês 08</t>
  </si>
  <si>
    <t>Mês 09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</si>
  <si>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</si>
  <si>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</si>
  <si>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</si>
  <si>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</si>
  <si>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</si>
  <si>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</si>
  <si>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</si>
  <si>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</si>
  <si>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</si>
  <si>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pág. 01/03</t>
  </si>
  <si>
    <t>pág. 03/03</t>
  </si>
  <si>
    <t>pág. 02/03</t>
  </si>
  <si>
    <t>INSIRA LOGO DA EMPRESA</t>
  </si>
  <si>
    <t>AGRUPADORES DE SERVIÇOS</t>
  </si>
  <si>
    <t>COMPOSIÇÃO DE BDI - PAVIMENTAÇÃO POLIÉDRICA EM VIAS RURAIS DE ACESSO A COMUNIDADE DE LINHA TORTELLI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</si>
  <si>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</si>
  <si>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</si>
  <si>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</si>
  <si>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</si>
  <si>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</si>
  <si>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</si>
  <si>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</si>
  <si>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</si>
  <si>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</si>
  <si>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</si>
  <si>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</si>
  <si>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SG - SEGUROS + GARANTIA</t>
  </si>
  <si>
    <t>R - RISCOS</t>
  </si>
  <si>
    <t>DF - DESPESAS FINANCEIRAS</t>
  </si>
  <si>
    <t>L - LUCRO BRUTO</t>
  </si>
  <si>
    <t>I - IMPOSTOS</t>
  </si>
  <si>
    <t>PIS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</si>
  <si>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</si>
  <si>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</si>
  <si>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</si>
  <si>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</si>
  <si>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</si>
  <si>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</si>
  <si>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</si>
  <si>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</si>
  <si>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</si>
  <si>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</si>
  <si>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</si>
  <si>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</si>
  <si>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</si>
  <si>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</si>
  <si>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</si>
  <si>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</si>
  <si>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</si>
  <si>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</si>
  <si>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</si>
  <si>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</si>
  <si>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PRAZO DE OBRA:</t>
  </si>
  <si>
    <t>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</si>
</sst>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_(&quot;R$&quot;* #,##0.00_);_(&quot;R$&quot;* \(#,##0.00\);_(&quot;R$&quot;* &quot;-&quot;??_);_(@_)"/>
  </numFmts>
  <fonts count="1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5"/>
      <color rgb="FFFF0000"/>
      <name val="Arial"/>
      <family val="2"/>
    </font>
    <font>
      <sz val="10"/>
      <name val="Arial"/>
    </font>
    <font>
      <b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0" fontId="16" fillId="0" borderId="0"/>
    <xf numFmtId="165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4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4" xfId="0" applyFont="1" applyFill="1" applyBorder="1" applyAlignment="1" applyProtection="1">
      <alignment vertical="center"/>
    </xf>
    <xf numFmtId="0" fontId="2" fillId="0" borderId="24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3" xfId="0" applyNumberFormat="1" applyFont="1" applyFill="1" applyBorder="1" applyAlignment="1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" fontId="1" fillId="0" borderId="25" xfId="0" applyNumberFormat="1" applyFont="1" applyBorder="1" applyAlignment="1" applyProtection="1"/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" fontId="1" fillId="0" borderId="26" xfId="0" applyNumberFormat="1" applyFont="1" applyBorder="1" applyAlignment="1" applyProtection="1"/>
    <xf numFmtId="4" fontId="1" fillId="0" borderId="4" xfId="0" applyNumberFormat="1" applyFont="1" applyBorder="1" applyAlignment="1" applyProtection="1"/>
    <xf numFmtId="4" fontId="1" fillId="0" borderId="23" xfId="0" applyNumberFormat="1" applyFont="1" applyBorder="1" applyAlignment="1" applyProtection="1"/>
    <xf numFmtId="9" fontId="2" fillId="0" borderId="21" xfId="1" applyFont="1" applyBorder="1" applyAlignment="1" applyProtection="1">
      <alignment vertical="center"/>
    </xf>
    <xf numFmtId="4" fontId="2" fillId="0" borderId="21" xfId="0" applyNumberFormat="1" applyFont="1" applyBorder="1" applyAlignment="1" applyProtection="1">
      <alignment vertical="center"/>
    </xf>
    <xf numFmtId="0" fontId="2" fillId="5" borderId="21" xfId="0" applyFont="1" applyFill="1" applyBorder="1" applyAlignment="1" applyProtection="1">
      <alignment vertical="center"/>
    </xf>
    <xf numFmtId="0" fontId="0" fillId="0" borderId="18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6" xfId="0" applyBorder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>
      <alignment horizontal="left"/>
    </xf>
    <xf numFmtId="0" fontId="16" fillId="7" borderId="0" xfId="2" applyFill="1" applyBorder="1"/>
    <xf numFmtId="0" fontId="16" fillId="7" borderId="0" xfId="2" applyFill="1" applyBorder="1" applyAlignment="1">
      <alignment horizontal="center"/>
    </xf>
    <xf numFmtId="0" fontId="17" fillId="7" borderId="0" xfId="2" applyFont="1" applyFill="1" applyBorder="1"/>
    <xf numFmtId="165" fontId="16" fillId="6" borderId="30" xfId="3" applyFill="1" applyBorder="1" applyAlignment="1">
      <alignment horizontal="center"/>
    </xf>
    <xf numFmtId="0" fontId="16" fillId="0" borderId="30" xfId="2" applyBorder="1" applyAlignment="1">
      <alignment horizontal="center" vertical="center"/>
    </xf>
    <xf numFmtId="0" fontId="16" fillId="0" borderId="30" xfId="2" applyBorder="1" applyAlignment="1">
      <alignment horizontal="center"/>
    </xf>
    <xf numFmtId="0" fontId="16" fillId="8" borderId="30" xfId="2" applyFill="1" applyBorder="1"/>
    <xf numFmtId="165" fontId="16" fillId="8" borderId="30" xfId="2" applyNumberFormat="1" applyFill="1" applyBorder="1" applyAlignment="1">
      <alignment horizontal="center"/>
    </xf>
    <xf numFmtId="10" fontId="16" fillId="6" borderId="30" xfId="2" applyNumberFormat="1" applyFill="1" applyBorder="1" applyAlignment="1">
      <alignment horizontal="center"/>
    </xf>
    <xf numFmtId="10" fontId="16" fillId="0" borderId="30" xfId="4" applyNumberFormat="1" applyBorder="1" applyAlignment="1">
      <alignment horizontal="center"/>
    </xf>
    <xf numFmtId="10" fontId="16" fillId="6" borderId="30" xfId="4" applyNumberFormat="1" applyFill="1" applyBorder="1" applyAlignment="1">
      <alignment horizontal="center"/>
    </xf>
    <xf numFmtId="0" fontId="16" fillId="8" borderId="30" xfId="2" applyFill="1" applyBorder="1" applyAlignment="1">
      <alignment horizontal="left"/>
    </xf>
    <xf numFmtId="165" fontId="16" fillId="8" borderId="30" xfId="3" applyFill="1" applyBorder="1" applyAlignment="1">
      <alignment horizontal="center"/>
    </xf>
    <xf numFmtId="10" fontId="16" fillId="8" borderId="30" xfId="4" applyNumberFormat="1" applyFill="1" applyBorder="1" applyAlignment="1">
      <alignment horizontal="center"/>
    </xf>
    <xf numFmtId="0" fontId="16" fillId="7" borderId="33" xfId="2" applyFill="1" applyBorder="1" applyAlignment="1">
      <alignment horizontal="center"/>
    </xf>
    <xf numFmtId="10" fontId="16" fillId="7" borderId="0" xfId="2" applyNumberFormat="1" applyFill="1" applyBorder="1"/>
    <xf numFmtId="10" fontId="16" fillId="7" borderId="34" xfId="2" applyNumberFormat="1" applyFill="1" applyBorder="1"/>
    <xf numFmtId="0" fontId="16" fillId="0" borderId="30" xfId="2" applyBorder="1" applyAlignment="1">
      <alignment horizontal="left" indent="5"/>
    </xf>
    <xf numFmtId="0" fontId="16" fillId="7" borderId="34" xfId="2" applyFill="1" applyBorder="1"/>
    <xf numFmtId="10" fontId="16" fillId="6" borderId="31" xfId="4" applyNumberFormat="1" applyFill="1" applyBorder="1" applyAlignment="1">
      <alignment horizontal="center"/>
    </xf>
    <xf numFmtId="165" fontId="16" fillId="0" borderId="30" xfId="2" applyNumberFormat="1" applyBorder="1" applyAlignment="1">
      <alignment horizontal="center"/>
    </xf>
    <xf numFmtId="0" fontId="16" fillId="0" borderId="30" xfId="2" applyBorder="1"/>
    <xf numFmtId="0" fontId="16" fillId="7" borderId="0" xfId="2" applyFill="1"/>
    <xf numFmtId="0" fontId="16" fillId="7" borderId="0" xfId="2" applyFill="1" applyAlignment="1">
      <alignment horizontal="center"/>
    </xf>
    <xf numFmtId="0" fontId="16" fillId="7" borderId="36" xfId="2" applyFill="1" applyBorder="1"/>
    <xf numFmtId="0" fontId="16" fillId="7" borderId="37" xfId="2" applyFill="1" applyBorder="1"/>
    <xf numFmtId="0" fontId="16" fillId="7" borderId="35" xfId="2" applyFill="1" applyBorder="1"/>
    <xf numFmtId="0" fontId="16" fillId="7" borderId="33" xfId="2" applyFill="1" applyBorder="1"/>
    <xf numFmtId="0" fontId="16" fillId="7" borderId="38" xfId="2" applyFill="1" applyBorder="1"/>
    <xf numFmtId="0" fontId="16" fillId="7" borderId="39" xfId="2" applyFill="1" applyBorder="1"/>
    <xf numFmtId="0" fontId="16" fillId="7" borderId="40" xfId="2" applyFill="1" applyBorder="1"/>
    <xf numFmtId="0" fontId="16" fillId="7" borderId="0" xfId="2" applyFont="1" applyFill="1" applyAlignment="1">
      <alignment horizontal="right"/>
    </xf>
    <xf numFmtId="0" fontId="16" fillId="6" borderId="30" xfId="2" applyFill="1" applyBorder="1" applyAlignment="1">
      <alignment horizontal="center"/>
    </xf>
    <xf numFmtId="0" fontId="16" fillId="7" borderId="0" xfId="2" applyFont="1" applyFill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2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15" fillId="0" borderId="0" xfId="0" applyNumberFormat="1" applyFont="1" applyFill="1" applyBorder="1" applyAlignment="1" applyProtection="1">
      <alignment horizontal="center"/>
      <protection locked="0"/>
    </xf>
    <xf numFmtId="0" fontId="13" fillId="0" borderId="8" xfId="0" applyFont="1" applyBorder="1" applyAlignment="1" applyProtection="1">
      <alignment horizontal="left"/>
      <protection locked="0"/>
    </xf>
    <xf numFmtId="16" fontId="1" fillId="0" borderId="8" xfId="0" applyNumberFormat="1" applyFont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13" fillId="0" borderId="8" xfId="0" applyNumberFormat="1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16" fillId="0" borderId="30" xfId="2" applyBorder="1" applyAlignment="1">
      <alignment horizontal="center"/>
    </xf>
    <xf numFmtId="0" fontId="16" fillId="0" borderId="27" xfId="2" applyBorder="1" applyAlignment="1">
      <alignment horizontal="left"/>
    </xf>
    <xf numFmtId="0" fontId="16" fillId="0" borderId="29" xfId="2" applyBorder="1" applyAlignment="1">
      <alignment horizontal="left"/>
    </xf>
    <xf numFmtId="0" fontId="16" fillId="0" borderId="35" xfId="2" applyBorder="1" applyAlignment="1">
      <alignment horizontal="left"/>
    </xf>
    <xf numFmtId="0" fontId="16" fillId="0" borderId="27" xfId="2" applyBorder="1" applyAlignment="1">
      <alignment horizontal="center"/>
    </xf>
    <xf numFmtId="0" fontId="16" fillId="0" borderId="28" xfId="2" applyBorder="1" applyAlignment="1">
      <alignment horizontal="center"/>
    </xf>
    <xf numFmtId="0" fontId="16" fillId="0" borderId="29" xfId="2" applyBorder="1" applyAlignment="1">
      <alignment horizontal="center"/>
    </xf>
    <xf numFmtId="0" fontId="16" fillId="7" borderId="0" xfId="2" applyFill="1" applyBorder="1" applyAlignment="1">
      <alignment horizontal="center"/>
    </xf>
    <xf numFmtId="0" fontId="16" fillId="7" borderId="0" xfId="2" applyFont="1" applyFill="1" applyBorder="1" applyAlignment="1">
      <alignment horizontal="right"/>
    </xf>
    <xf numFmtId="0" fontId="16" fillId="7" borderId="0" xfId="2" applyFill="1" applyBorder="1" applyAlignment="1">
      <alignment horizontal="right"/>
    </xf>
    <xf numFmtId="0" fontId="5" fillId="8" borderId="27" xfId="2" applyFont="1" applyFill="1" applyBorder="1" applyAlignment="1">
      <alignment horizontal="center"/>
    </xf>
    <xf numFmtId="0" fontId="5" fillId="8" borderId="28" xfId="2" applyFont="1" applyFill="1" applyBorder="1" applyAlignment="1">
      <alignment horizontal="center"/>
    </xf>
    <xf numFmtId="0" fontId="5" fillId="8" borderId="29" xfId="2" applyFont="1" applyFill="1" applyBorder="1" applyAlignment="1">
      <alignment horizontal="center"/>
    </xf>
    <xf numFmtId="0" fontId="16" fillId="0" borderId="30" xfId="2" applyBorder="1" applyAlignment="1">
      <alignment horizontal="center" vertical="center"/>
    </xf>
    <xf numFmtId="0" fontId="16" fillId="0" borderId="31" xfId="2" applyBorder="1" applyAlignment="1">
      <alignment horizontal="center" vertical="center" wrapText="1"/>
    </xf>
    <xf numFmtId="0" fontId="16" fillId="0" borderId="32" xfId="2" applyBorder="1" applyAlignment="1">
      <alignment horizontal="center" vertical="center" wrapText="1"/>
    </xf>
  </cellXfs>
  <cellStyles count="5">
    <cellStyle name="Moeda_pLANILHA DE BDI_MODELO v2_EXCEL" xfId="3"/>
    <cellStyle name="Normal" xfId="0" builtinId="0"/>
    <cellStyle name="Normal_pLANILHA DE BDI_MODELO v2_EXCEL" xfId="2"/>
    <cellStyle name="Porcentagem" xfId="1" builtinId="5"/>
    <cellStyle name="Porcentagem_pLANILHA DE BDI_MODELO v2_EXCEL" xfId="4"/>
  </cellStyles>
  <dxfs count="23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29</xdr:row>
      <xdr:rowOff>0</xdr:rowOff>
    </xdr:from>
    <xdr:to>
      <xdr:col>6</xdr:col>
      <xdr:colOff>1047750</xdr:colOff>
      <xdr:row>33</xdr:row>
      <xdr:rowOff>76200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5543550"/>
          <a:ext cx="37528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22"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7.570312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4"/>
      <c r="B1" s="34"/>
      <c r="C1" s="34"/>
      <c r="D1" s="34"/>
      <c r="E1" s="34"/>
      <c r="F1" s="34"/>
      <c r="G1" s="34"/>
      <c r="K1" s="106" t="s">
        <v>22</v>
      </c>
    </row>
    <row r="2" spans="1:13" ht="15" customHeight="1" x14ac:dyDescent="0.25">
      <c r="A2" s="116" t="s">
        <v>97</v>
      </c>
      <c r="B2" s="116"/>
      <c r="C2" s="116"/>
      <c r="D2" s="116"/>
      <c r="E2" s="116"/>
      <c r="F2" s="116"/>
      <c r="G2" s="116"/>
      <c r="I2" s="109" t="s">
        <v>8</v>
      </c>
      <c r="K2" s="107"/>
    </row>
    <row r="3" spans="1:13" ht="15" customHeight="1" x14ac:dyDescent="0.25">
      <c r="A3" s="34"/>
      <c r="B3" s="34"/>
      <c r="C3" s="35"/>
      <c r="D3" s="34"/>
      <c r="E3" s="34"/>
      <c r="F3" s="34"/>
      <c r="G3" s="34"/>
      <c r="I3" s="110"/>
      <c r="K3" s="107"/>
    </row>
    <row r="4" spans="1:13" ht="15" customHeight="1" x14ac:dyDescent="0.25">
      <c r="A4" s="34"/>
      <c r="B4" s="34"/>
      <c r="C4" s="34"/>
      <c r="D4" s="34"/>
      <c r="E4" s="34"/>
      <c r="F4" s="34"/>
      <c r="G4" s="34"/>
      <c r="I4" s="110"/>
      <c r="K4" s="107"/>
    </row>
    <row r="5" spans="1:13" ht="15" customHeight="1" x14ac:dyDescent="0.25">
      <c r="A5" s="34"/>
      <c r="B5" s="34"/>
      <c r="C5" s="34"/>
      <c r="D5" s="34"/>
      <c r="E5" s="34"/>
      <c r="F5" s="34"/>
      <c r="G5" s="34"/>
      <c r="I5" s="110"/>
      <c r="K5" s="107"/>
    </row>
    <row r="6" spans="1:13" ht="15" customHeight="1" x14ac:dyDescent="0.25">
      <c r="A6" s="34"/>
      <c r="B6" s="34"/>
      <c r="C6" s="34"/>
      <c r="D6" s="34"/>
      <c r="E6" s="34"/>
      <c r="F6" s="34"/>
      <c r="G6" s="34"/>
      <c r="I6" s="111"/>
      <c r="K6" s="107"/>
    </row>
    <row r="7" spans="1:13" ht="28.5" customHeight="1" x14ac:dyDescent="0.25">
      <c r="A7" s="104" t="s">
        <v>44</v>
      </c>
      <c r="B7" s="104"/>
      <c r="C7" s="104"/>
      <c r="D7" s="104"/>
      <c r="E7" s="104"/>
      <c r="F7" s="104"/>
      <c r="G7" s="104"/>
      <c r="K7" s="107"/>
    </row>
    <row r="8" spans="1:13" ht="15" customHeight="1" x14ac:dyDescent="0.25">
      <c r="A8" s="112" t="s">
        <v>45</v>
      </c>
      <c r="B8" s="112"/>
      <c r="C8" s="112"/>
      <c r="D8" s="112"/>
      <c r="E8" s="112"/>
      <c r="F8" s="112"/>
      <c r="G8" s="112"/>
      <c r="K8" s="107"/>
      <c r="L8" s="10" t="s">
        <v>9</v>
      </c>
    </row>
    <row r="9" spans="1:13" ht="15" customHeight="1" x14ac:dyDescent="0.25">
      <c r="A9" s="113"/>
      <c r="B9" s="114"/>
      <c r="C9" s="114"/>
      <c r="D9" s="114"/>
      <c r="E9" s="114"/>
      <c r="F9" s="114"/>
      <c r="G9" s="115"/>
      <c r="K9" s="108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20</v>
      </c>
      <c r="J10" s="11" t="s">
        <v>21</v>
      </c>
      <c r="K10" s="16">
        <v>0</v>
      </c>
      <c r="L10" s="10" t="s">
        <v>7</v>
      </c>
      <c r="M10" s="10">
        <f>G49</f>
        <v>966107.5199999999</v>
      </c>
    </row>
    <row r="11" spans="1:13" s="1" customFormat="1" x14ac:dyDescent="0.25">
      <c r="A11" s="36">
        <v>1</v>
      </c>
      <c r="B11" s="36"/>
      <c r="C11" s="37" t="s">
        <v>54</v>
      </c>
      <c r="D11" s="6"/>
      <c r="E11" s="7"/>
      <c r="F11" s="7"/>
      <c r="G11" s="7"/>
      <c r="I11" s="8"/>
      <c r="L11" s="10"/>
    </row>
    <row r="12" spans="1:13" s="1" customFormat="1" x14ac:dyDescent="0.25">
      <c r="A12" s="6" t="s">
        <v>19</v>
      </c>
      <c r="B12" s="6" t="s">
        <v>53</v>
      </c>
      <c r="C12" s="5" t="s">
        <v>55</v>
      </c>
      <c r="D12" s="6" t="s">
        <v>56</v>
      </c>
      <c r="E12" s="7">
        <v>8</v>
      </c>
      <c r="F12" s="7">
        <f t="shared" ref="F12" si="0">ROUND(I12,2)</f>
        <v>438.68</v>
      </c>
      <c r="G12" s="7">
        <f t="shared" ref="G12" si="1">ROUND(F12*E12,2)</f>
        <v>3509.44</v>
      </c>
      <c r="I12" s="8">
        <f>ROUND(L12-(L12*$K$10),2)</f>
        <v>438.68</v>
      </c>
      <c r="L12" s="10">
        <v>438.68</v>
      </c>
    </row>
    <row r="13" spans="1:13" s="1" customFormat="1" x14ac:dyDescent="0.25">
      <c r="A13" s="6"/>
      <c r="B13" s="6"/>
      <c r="C13" s="5"/>
      <c r="D13" s="6"/>
      <c r="E13" s="7"/>
      <c r="F13" s="7"/>
      <c r="G13" s="7"/>
      <c r="I13" s="8"/>
      <c r="L13" s="10"/>
    </row>
    <row r="14" spans="1:13" s="1" customFormat="1" x14ac:dyDescent="0.25">
      <c r="A14" s="6">
        <v>2</v>
      </c>
      <c r="B14" s="6"/>
      <c r="C14" s="5" t="s">
        <v>42</v>
      </c>
      <c r="D14" s="6"/>
      <c r="E14" s="7"/>
      <c r="F14" s="7"/>
      <c r="G14" s="7"/>
      <c r="I14" s="8"/>
      <c r="L14" s="10"/>
    </row>
    <row r="15" spans="1:13" s="1" customFormat="1" x14ac:dyDescent="0.25">
      <c r="A15" s="6" t="s">
        <v>34</v>
      </c>
      <c r="B15" s="6">
        <v>500000</v>
      </c>
      <c r="C15" s="5" t="s">
        <v>57</v>
      </c>
      <c r="D15" s="6" t="s">
        <v>56</v>
      </c>
      <c r="E15" s="7">
        <v>26460</v>
      </c>
      <c r="F15" s="7">
        <f t="shared" ref="F15:F43" si="2">ROUND(I15,2)</f>
        <v>2.97</v>
      </c>
      <c r="G15" s="7">
        <f t="shared" ref="G15:G43" si="3">ROUND(F15*E15,2)</f>
        <v>78586.2</v>
      </c>
      <c r="I15" s="8">
        <f t="shared" ref="I15:I43" si="4">ROUND(L15-(L15*$K$10),2)</f>
        <v>2.97</v>
      </c>
      <c r="L15" s="10">
        <v>2.97</v>
      </c>
    </row>
    <row r="16" spans="1:13" s="1" customFormat="1" x14ac:dyDescent="0.25">
      <c r="A16" s="6" t="s">
        <v>35</v>
      </c>
      <c r="B16" s="6">
        <v>401140</v>
      </c>
      <c r="C16" s="5" t="s">
        <v>58</v>
      </c>
      <c r="D16" s="6" t="s">
        <v>59</v>
      </c>
      <c r="E16" s="7">
        <v>8820</v>
      </c>
      <c r="F16" s="7">
        <f t="shared" si="2"/>
        <v>0.33</v>
      </c>
      <c r="G16" s="7">
        <f t="shared" si="3"/>
        <v>2910.6</v>
      </c>
      <c r="I16" s="8">
        <f t="shared" si="4"/>
        <v>0.33</v>
      </c>
      <c r="L16" s="10">
        <v>0.33</v>
      </c>
    </row>
    <row r="17" spans="1:12" s="1" customFormat="1" x14ac:dyDescent="0.25">
      <c r="A17" s="6"/>
      <c r="B17" s="6"/>
      <c r="C17" s="5"/>
      <c r="D17" s="6"/>
      <c r="E17" s="7"/>
      <c r="F17" s="7"/>
      <c r="G17" s="7"/>
      <c r="I17" s="8"/>
      <c r="L17" s="10"/>
    </row>
    <row r="18" spans="1:12" s="1" customFormat="1" x14ac:dyDescent="0.25">
      <c r="A18" s="6">
        <v>3</v>
      </c>
      <c r="B18" s="6"/>
      <c r="C18" s="5" t="s">
        <v>60</v>
      </c>
      <c r="D18" s="6"/>
      <c r="E18" s="7"/>
      <c r="F18" s="7"/>
      <c r="G18" s="7"/>
      <c r="I18" s="8"/>
      <c r="L18" s="10"/>
    </row>
    <row r="19" spans="1:12" s="1" customFormat="1" ht="22.5" x14ac:dyDescent="0.25">
      <c r="A19" s="6" t="s">
        <v>36</v>
      </c>
      <c r="B19" s="6">
        <v>972000</v>
      </c>
      <c r="C19" s="5" t="s">
        <v>61</v>
      </c>
      <c r="D19" s="6" t="s">
        <v>62</v>
      </c>
      <c r="E19" s="7">
        <v>5953.5</v>
      </c>
      <c r="F19" s="7">
        <f t="shared" si="2"/>
        <v>3.73</v>
      </c>
      <c r="G19" s="7">
        <f t="shared" si="3"/>
        <v>22206.560000000001</v>
      </c>
      <c r="I19" s="8">
        <f t="shared" si="4"/>
        <v>3.73</v>
      </c>
      <c r="L19" s="10">
        <v>3.73</v>
      </c>
    </row>
    <row r="20" spans="1:12" s="1" customFormat="1" x14ac:dyDescent="0.25">
      <c r="A20" s="6" t="s">
        <v>37</v>
      </c>
      <c r="B20" s="6">
        <v>532600</v>
      </c>
      <c r="C20" s="5" t="s">
        <v>63</v>
      </c>
      <c r="D20" s="6" t="s">
        <v>56</v>
      </c>
      <c r="E20" s="7">
        <v>26460</v>
      </c>
      <c r="F20" s="7">
        <f t="shared" si="2"/>
        <v>2.1</v>
      </c>
      <c r="G20" s="7">
        <f t="shared" si="3"/>
        <v>55566</v>
      </c>
      <c r="I20" s="8">
        <f t="shared" si="4"/>
        <v>2.1</v>
      </c>
      <c r="L20" s="10">
        <v>2.1</v>
      </c>
    </row>
    <row r="21" spans="1:12" s="1" customFormat="1" x14ac:dyDescent="0.25">
      <c r="A21" s="36"/>
      <c r="B21" s="36"/>
      <c r="C21" s="37"/>
      <c r="D21" s="6"/>
      <c r="E21" s="7"/>
      <c r="F21" s="7"/>
      <c r="G21" s="7"/>
      <c r="I21" s="8"/>
      <c r="L21" s="10"/>
    </row>
    <row r="22" spans="1:12" s="1" customFormat="1" x14ac:dyDescent="0.25">
      <c r="A22" s="6">
        <v>4</v>
      </c>
      <c r="B22" s="6"/>
      <c r="C22" s="5" t="s">
        <v>64</v>
      </c>
      <c r="D22" s="6"/>
      <c r="E22" s="7"/>
      <c r="F22" s="7"/>
      <c r="G22" s="7"/>
      <c r="I22" s="8"/>
      <c r="L22" s="10"/>
    </row>
    <row r="23" spans="1:12" s="1" customFormat="1" x14ac:dyDescent="0.25">
      <c r="A23" s="6" t="s">
        <v>38</v>
      </c>
      <c r="B23" s="6">
        <v>521450</v>
      </c>
      <c r="C23" s="5" t="s">
        <v>65</v>
      </c>
      <c r="D23" s="6" t="s">
        <v>56</v>
      </c>
      <c r="E23" s="7">
        <v>26460</v>
      </c>
      <c r="F23" s="7">
        <f t="shared" si="2"/>
        <v>20.74</v>
      </c>
      <c r="G23" s="7">
        <f t="shared" si="3"/>
        <v>548780.4</v>
      </c>
      <c r="I23" s="8">
        <f t="shared" si="4"/>
        <v>20.74</v>
      </c>
      <c r="L23" s="10">
        <v>20.74</v>
      </c>
    </row>
    <row r="24" spans="1:12" s="1" customFormat="1" ht="22.5" x14ac:dyDescent="0.25">
      <c r="A24" s="6" t="s">
        <v>39</v>
      </c>
      <c r="B24" s="6">
        <v>972000</v>
      </c>
      <c r="C24" s="5" t="s">
        <v>66</v>
      </c>
      <c r="D24" s="6" t="s">
        <v>62</v>
      </c>
      <c r="E24" s="7">
        <v>7938</v>
      </c>
      <c r="F24" s="7">
        <f t="shared" si="2"/>
        <v>13.95</v>
      </c>
      <c r="G24" s="7">
        <f t="shared" si="3"/>
        <v>110735.1</v>
      </c>
      <c r="I24" s="8">
        <f t="shared" si="4"/>
        <v>13.95</v>
      </c>
      <c r="L24" s="10">
        <v>13.95</v>
      </c>
    </row>
    <row r="25" spans="1:12" s="1" customFormat="1" x14ac:dyDescent="0.25">
      <c r="A25" s="6"/>
      <c r="B25" s="6"/>
      <c r="C25" s="5"/>
      <c r="D25" s="6"/>
      <c r="E25" s="7"/>
      <c r="F25" s="7"/>
      <c r="G25" s="7"/>
      <c r="I25" s="8"/>
      <c r="L25" s="10"/>
    </row>
    <row r="26" spans="1:12" s="1" customFormat="1" x14ac:dyDescent="0.25">
      <c r="A26" s="6">
        <v>5</v>
      </c>
      <c r="B26" s="6"/>
      <c r="C26" s="5" t="s">
        <v>67</v>
      </c>
      <c r="D26" s="6"/>
      <c r="E26" s="7"/>
      <c r="F26" s="7"/>
      <c r="G26" s="7"/>
      <c r="I26" s="8"/>
      <c r="L26" s="10"/>
    </row>
    <row r="27" spans="1:12" s="1" customFormat="1" ht="22.5" x14ac:dyDescent="0.25">
      <c r="A27" s="6" t="s">
        <v>40</v>
      </c>
      <c r="B27" s="6">
        <v>535200</v>
      </c>
      <c r="C27" s="5" t="s">
        <v>68</v>
      </c>
      <c r="D27" s="6" t="s">
        <v>59</v>
      </c>
      <c r="E27" s="7">
        <v>8820</v>
      </c>
      <c r="F27" s="7">
        <f t="shared" si="2"/>
        <v>9.43</v>
      </c>
      <c r="G27" s="7">
        <f t="shared" si="3"/>
        <v>83172.600000000006</v>
      </c>
      <c r="I27" s="8">
        <f t="shared" si="4"/>
        <v>9.43</v>
      </c>
      <c r="L27" s="10">
        <v>9.43</v>
      </c>
    </row>
    <row r="28" spans="1:12" s="1" customFormat="1" ht="22.5" x14ac:dyDescent="0.25">
      <c r="A28" s="6" t="s">
        <v>41</v>
      </c>
      <c r="B28" s="6">
        <v>972000</v>
      </c>
      <c r="C28" s="5" t="s">
        <v>66</v>
      </c>
      <c r="D28" s="6" t="s">
        <v>62</v>
      </c>
      <c r="E28" s="7">
        <v>679.14</v>
      </c>
      <c r="F28" s="7">
        <f t="shared" si="2"/>
        <v>13.95</v>
      </c>
      <c r="G28" s="7">
        <f t="shared" si="3"/>
        <v>9474</v>
      </c>
      <c r="I28" s="8">
        <f t="shared" si="4"/>
        <v>13.95</v>
      </c>
      <c r="L28" s="10">
        <v>13.95</v>
      </c>
    </row>
    <row r="29" spans="1:12" s="1" customFormat="1" x14ac:dyDescent="0.25">
      <c r="A29" s="6"/>
      <c r="B29" s="6"/>
      <c r="C29" s="5"/>
      <c r="D29" s="6"/>
      <c r="E29" s="7"/>
      <c r="F29" s="7"/>
      <c r="G29" s="7"/>
      <c r="I29" s="8"/>
      <c r="L29" s="10"/>
    </row>
    <row r="30" spans="1:12" s="1" customFormat="1" x14ac:dyDescent="0.25">
      <c r="A30" s="6">
        <v>6</v>
      </c>
      <c r="B30" s="6"/>
      <c r="C30" s="5" t="s">
        <v>69</v>
      </c>
      <c r="D30" s="6"/>
      <c r="E30" s="7"/>
      <c r="F30" s="7"/>
      <c r="G30" s="7"/>
      <c r="I30" s="8"/>
      <c r="L30" s="10"/>
    </row>
    <row r="31" spans="1:12" s="1" customFormat="1" x14ac:dyDescent="0.25">
      <c r="A31" s="6" t="s">
        <v>46</v>
      </c>
      <c r="B31" s="6">
        <v>532650</v>
      </c>
      <c r="C31" s="5" t="s">
        <v>70</v>
      </c>
      <c r="D31" s="6" t="s">
        <v>56</v>
      </c>
      <c r="E31" s="7">
        <v>26460</v>
      </c>
      <c r="F31" s="7">
        <f t="shared" si="2"/>
        <v>0.92</v>
      </c>
      <c r="G31" s="7">
        <f t="shared" si="3"/>
        <v>24343.200000000001</v>
      </c>
      <c r="I31" s="8">
        <f t="shared" si="4"/>
        <v>0.92</v>
      </c>
      <c r="L31" s="10">
        <v>0.92</v>
      </c>
    </row>
    <row r="32" spans="1:12" s="1" customFormat="1" ht="22.5" x14ac:dyDescent="0.25">
      <c r="A32" s="6" t="s">
        <v>47</v>
      </c>
      <c r="B32" s="6">
        <v>972000</v>
      </c>
      <c r="C32" s="5" t="s">
        <v>61</v>
      </c>
      <c r="D32" s="6" t="s">
        <v>62</v>
      </c>
      <c r="E32" s="7">
        <v>1190.7</v>
      </c>
      <c r="F32" s="7">
        <f t="shared" si="2"/>
        <v>3.73</v>
      </c>
      <c r="G32" s="7">
        <f t="shared" si="3"/>
        <v>4441.3100000000004</v>
      </c>
      <c r="I32" s="8">
        <f t="shared" si="4"/>
        <v>3.73</v>
      </c>
      <c r="L32" s="10">
        <v>3.73</v>
      </c>
    </row>
    <row r="33" spans="1:12" s="1" customFormat="1" x14ac:dyDescent="0.25">
      <c r="A33" s="6"/>
      <c r="B33" s="6"/>
      <c r="C33" s="5"/>
      <c r="D33" s="6"/>
      <c r="E33" s="7"/>
      <c r="F33" s="7"/>
      <c r="G33" s="7"/>
      <c r="I33" s="8"/>
      <c r="L33" s="10"/>
    </row>
    <row r="34" spans="1:12" s="1" customFormat="1" x14ac:dyDescent="0.25">
      <c r="A34" s="6">
        <v>7</v>
      </c>
      <c r="B34" s="6"/>
      <c r="C34" s="5" t="s">
        <v>71</v>
      </c>
      <c r="D34" s="6"/>
      <c r="E34" s="7"/>
      <c r="F34" s="7"/>
      <c r="G34" s="7"/>
      <c r="I34" s="8"/>
      <c r="L34" s="10"/>
    </row>
    <row r="35" spans="1:12" s="1" customFormat="1" ht="22.5" x14ac:dyDescent="0.25">
      <c r="A35" s="6" t="s">
        <v>48</v>
      </c>
      <c r="B35" s="6">
        <v>575100</v>
      </c>
      <c r="C35" s="5" t="s">
        <v>72</v>
      </c>
      <c r="D35" s="6" t="s">
        <v>56</v>
      </c>
      <c r="E35" s="7">
        <v>4410</v>
      </c>
      <c r="F35" s="7">
        <f t="shared" si="2"/>
        <v>1.42</v>
      </c>
      <c r="G35" s="7">
        <f t="shared" si="3"/>
        <v>6262.2</v>
      </c>
      <c r="I35" s="8">
        <f t="shared" si="4"/>
        <v>1.42</v>
      </c>
      <c r="L35" s="10">
        <v>1.42</v>
      </c>
    </row>
    <row r="36" spans="1:12" s="1" customFormat="1" ht="22.5" x14ac:dyDescent="0.25">
      <c r="A36" s="6" t="s">
        <v>49</v>
      </c>
      <c r="B36" s="6">
        <v>800350</v>
      </c>
      <c r="C36" s="5" t="s">
        <v>73</v>
      </c>
      <c r="D36" s="6" t="s">
        <v>56</v>
      </c>
      <c r="E36" s="7">
        <v>1764</v>
      </c>
      <c r="F36" s="7">
        <f t="shared" si="2"/>
        <v>0.93</v>
      </c>
      <c r="G36" s="7">
        <f t="shared" si="3"/>
        <v>1640.52</v>
      </c>
      <c r="I36" s="8">
        <f t="shared" si="4"/>
        <v>0.93</v>
      </c>
      <c r="L36" s="10">
        <v>0.93</v>
      </c>
    </row>
    <row r="37" spans="1:12" s="1" customFormat="1" x14ac:dyDescent="0.25">
      <c r="A37" s="6"/>
      <c r="B37" s="6"/>
      <c r="C37" s="5"/>
      <c r="D37" s="6"/>
      <c r="E37" s="7"/>
      <c r="F37" s="7"/>
      <c r="G37" s="7"/>
      <c r="I37" s="8"/>
      <c r="L37" s="10"/>
    </row>
    <row r="38" spans="1:12" s="1" customFormat="1" x14ac:dyDescent="0.25">
      <c r="A38" s="6">
        <v>8</v>
      </c>
      <c r="B38" s="6"/>
      <c r="C38" s="5" t="s">
        <v>74</v>
      </c>
      <c r="D38" s="6"/>
      <c r="E38" s="7"/>
      <c r="F38" s="7"/>
      <c r="G38" s="7"/>
      <c r="I38" s="8"/>
      <c r="L38" s="10"/>
    </row>
    <row r="39" spans="1:12" s="1" customFormat="1" x14ac:dyDescent="0.25">
      <c r="A39" s="6" t="s">
        <v>50</v>
      </c>
      <c r="B39" s="6">
        <v>532700</v>
      </c>
      <c r="C39" s="5" t="s">
        <v>75</v>
      </c>
      <c r="D39" s="6" t="s">
        <v>56</v>
      </c>
      <c r="E39" s="7">
        <v>26460</v>
      </c>
      <c r="F39" s="7">
        <f t="shared" si="2"/>
        <v>0.5</v>
      </c>
      <c r="G39" s="7">
        <f t="shared" si="3"/>
        <v>13230</v>
      </c>
      <c r="I39" s="8">
        <f t="shared" si="4"/>
        <v>0.5</v>
      </c>
      <c r="L39" s="10">
        <v>0.5</v>
      </c>
    </row>
    <row r="40" spans="1:12" s="1" customFormat="1" x14ac:dyDescent="0.25">
      <c r="A40" s="6"/>
      <c r="B40" s="6"/>
      <c r="C40" s="5"/>
      <c r="D40" s="6"/>
      <c r="E40" s="7"/>
      <c r="F40" s="7"/>
      <c r="G40" s="7"/>
      <c r="I40" s="8"/>
      <c r="L40" s="10"/>
    </row>
    <row r="41" spans="1:12" s="1" customFormat="1" x14ac:dyDescent="0.25">
      <c r="A41" s="6">
        <v>9</v>
      </c>
      <c r="B41" s="6"/>
      <c r="C41" s="5" t="s">
        <v>76</v>
      </c>
      <c r="D41" s="6"/>
      <c r="E41" s="7"/>
      <c r="F41" s="7"/>
      <c r="G41" s="7"/>
      <c r="I41" s="8"/>
      <c r="L41" s="10"/>
    </row>
    <row r="42" spans="1:12" s="1" customFormat="1" ht="22.5" x14ac:dyDescent="0.25">
      <c r="A42" s="6" t="s">
        <v>51</v>
      </c>
      <c r="B42" s="6">
        <v>821300</v>
      </c>
      <c r="C42" s="5" t="s">
        <v>77</v>
      </c>
      <c r="D42" s="6" t="s">
        <v>78</v>
      </c>
      <c r="E42" s="7">
        <v>2</v>
      </c>
      <c r="F42" s="7">
        <f t="shared" si="2"/>
        <v>495.31</v>
      </c>
      <c r="G42" s="7">
        <f t="shared" si="3"/>
        <v>990.62</v>
      </c>
      <c r="I42" s="8">
        <f t="shared" si="4"/>
        <v>495.31</v>
      </c>
      <c r="L42" s="10">
        <v>495.31</v>
      </c>
    </row>
    <row r="43" spans="1:12" s="1" customFormat="1" x14ac:dyDescent="0.25">
      <c r="A43" s="6" t="s">
        <v>52</v>
      </c>
      <c r="B43" s="6">
        <v>820000</v>
      </c>
      <c r="C43" s="5" t="s">
        <v>79</v>
      </c>
      <c r="D43" s="6" t="s">
        <v>43</v>
      </c>
      <c r="E43" s="7">
        <v>0.6</v>
      </c>
      <c r="F43" s="7">
        <f t="shared" si="2"/>
        <v>431.28</v>
      </c>
      <c r="G43" s="7">
        <f t="shared" si="3"/>
        <v>258.77</v>
      </c>
      <c r="I43" s="8">
        <f t="shared" si="4"/>
        <v>431.28</v>
      </c>
      <c r="L43" s="10">
        <v>431.28</v>
      </c>
    </row>
    <row r="44" spans="1:12" s="1" customFormat="1" x14ac:dyDescent="0.25">
      <c r="A44" s="6"/>
      <c r="B44" s="6"/>
      <c r="C44" s="5"/>
      <c r="D44" s="6"/>
      <c r="E44" s="7"/>
      <c r="F44" s="7"/>
      <c r="G44" s="7"/>
      <c r="I44" s="8"/>
      <c r="L44" s="10"/>
    </row>
    <row r="45" spans="1:12" s="1" customFormat="1" x14ac:dyDescent="0.25">
      <c r="A45" s="6"/>
      <c r="B45" s="6"/>
      <c r="C45" s="5" t="s">
        <v>80</v>
      </c>
      <c r="D45" s="6"/>
      <c r="E45" s="7"/>
      <c r="F45" s="7"/>
      <c r="G45" s="7"/>
      <c r="I45" s="8"/>
      <c r="L45" s="10"/>
    </row>
    <row r="46" spans="1:12" s="1" customFormat="1" x14ac:dyDescent="0.25">
      <c r="A46" s="36"/>
      <c r="B46" s="36"/>
      <c r="C46" s="37" t="s">
        <v>81</v>
      </c>
      <c r="D46" s="6"/>
      <c r="E46" s="7"/>
      <c r="F46" s="7"/>
      <c r="G46" s="7"/>
      <c r="I46" s="8"/>
      <c r="L46" s="10"/>
    </row>
    <row r="47" spans="1:12" s="1" customFormat="1" x14ac:dyDescent="0.25">
      <c r="A47" s="6"/>
      <c r="B47" s="6"/>
      <c r="C47" s="5"/>
      <c r="D47" s="6"/>
      <c r="E47" s="7"/>
      <c r="F47" s="7"/>
      <c r="G47" s="7"/>
      <c r="I47" s="8"/>
      <c r="L47" s="10"/>
    </row>
    <row r="48" spans="1:12" s="1" customFormat="1" x14ac:dyDescent="0.25">
      <c r="A48" s="12"/>
      <c r="B48" s="12"/>
      <c r="C48" s="13"/>
      <c r="D48" s="12"/>
      <c r="E48" s="14"/>
      <c r="F48" s="7"/>
      <c r="G48" s="7"/>
      <c r="I48" s="8"/>
      <c r="L48" s="15"/>
    </row>
    <row r="49" spans="1:7" x14ac:dyDescent="0.25">
      <c r="A49" s="103" t="s">
        <v>4</v>
      </c>
      <c r="B49" s="103"/>
      <c r="C49" s="103"/>
      <c r="D49" s="103"/>
      <c r="E49" s="103"/>
      <c r="F49" s="103"/>
      <c r="G49" s="9">
        <f>SUM(G11:G47)</f>
        <v>966107.5199999999</v>
      </c>
    </row>
    <row r="50" spans="1:7" x14ac:dyDescent="0.25">
      <c r="A50" s="34"/>
      <c r="B50" s="34"/>
      <c r="C50" s="34"/>
      <c r="D50" s="34"/>
      <c r="E50" s="34"/>
      <c r="F50" s="34"/>
      <c r="G50" s="34"/>
    </row>
    <row r="51" spans="1:7" ht="15" customHeight="1" x14ac:dyDescent="0.25">
      <c r="A51" s="105" t="s">
        <v>29</v>
      </c>
      <c r="B51" s="105"/>
      <c r="C51" s="105"/>
      <c r="D51" s="105"/>
      <c r="E51" s="105"/>
      <c r="F51" s="105"/>
      <c r="G51" s="105"/>
    </row>
    <row r="52" spans="1:7" x14ac:dyDescent="0.25">
      <c r="A52" s="34"/>
      <c r="B52" s="34"/>
      <c r="C52" s="34"/>
      <c r="D52" s="34"/>
      <c r="E52" s="34"/>
      <c r="F52" s="34"/>
      <c r="G52" s="34"/>
    </row>
    <row r="53" spans="1:7" x14ac:dyDescent="0.25">
      <c r="A53" s="34"/>
      <c r="B53" s="34"/>
      <c r="C53" s="34"/>
      <c r="D53" s="34"/>
      <c r="E53" s="34"/>
      <c r="F53" s="34"/>
      <c r="G53" s="34"/>
    </row>
    <row r="54" spans="1:7" x14ac:dyDescent="0.25">
      <c r="A54" s="34"/>
      <c r="B54" s="34"/>
      <c r="C54" s="34"/>
      <c r="D54" s="34"/>
      <c r="E54" s="34"/>
      <c r="F54" s="34"/>
      <c r="G54" s="34"/>
    </row>
    <row r="55" spans="1:7" x14ac:dyDescent="0.25">
      <c r="A55" s="34"/>
      <c r="B55" s="34"/>
      <c r="C55" s="34"/>
      <c r="D55" s="34"/>
      <c r="E55" s="34"/>
      <c r="F55" s="34"/>
      <c r="G55" s="34"/>
    </row>
    <row r="56" spans="1:7" x14ac:dyDescent="0.25">
      <c r="A56" s="34"/>
      <c r="B56" s="34"/>
      <c r="C56" s="34"/>
      <c r="D56" s="34"/>
      <c r="E56" s="34"/>
      <c r="F56" s="34"/>
      <c r="G56" s="34"/>
    </row>
    <row r="57" spans="1:7" x14ac:dyDescent="0.25">
      <c r="A57" s="34"/>
      <c r="B57" s="34"/>
      <c r="C57" s="34"/>
      <c r="D57" s="34"/>
      <c r="E57" s="34"/>
      <c r="F57" s="34"/>
      <c r="G57" s="34"/>
    </row>
    <row r="58" spans="1:7" x14ac:dyDescent="0.25">
      <c r="A58" s="34"/>
      <c r="B58" s="34"/>
      <c r="C58" s="34"/>
      <c r="D58" s="34"/>
      <c r="E58" s="34"/>
      <c r="F58" s="34"/>
      <c r="G58" s="34"/>
    </row>
  </sheetData>
  <sheetProtection password="EE6F" sheet="1" objects="1" scenarios="1" selectLockedCells="1"/>
  <mergeCells count="8">
    <mergeCell ref="A49:F49"/>
    <mergeCell ref="A7:G7"/>
    <mergeCell ref="A51:G51"/>
    <mergeCell ref="K1:K9"/>
    <mergeCell ref="I2:I6"/>
    <mergeCell ref="A8:G8"/>
    <mergeCell ref="A9:G9"/>
    <mergeCell ref="A2:G2"/>
  </mergeCells>
  <dataValidations disablePrompts="1"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48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topLeftCell="S1" zoomScaleNormal="100" workbookViewId="0">
      <selection activeCell="Q1" sqref="Q1:AF1"/>
    </sheetView>
  </sheetViews>
  <sheetFormatPr defaultRowHeight="12" customHeight="1" x14ac:dyDescent="0.25"/>
  <cols>
    <col min="1" max="1" width="4.28515625" customWidth="1"/>
    <col min="2" max="2" width="34" customWidth="1"/>
    <col min="3" max="3" width="12.5703125" bestFit="1" customWidth="1"/>
    <col min="4" max="16" width="7.140625" customWidth="1"/>
    <col min="17" max="17" width="4.42578125" customWidth="1"/>
    <col min="18" max="18" width="33.5703125" customWidth="1"/>
    <col min="19" max="19" width="12.5703125" bestFit="1" customWidth="1"/>
    <col min="20" max="32" width="7.140625" customWidth="1"/>
    <col min="33" max="33" width="4.42578125" customWidth="1"/>
    <col min="34" max="34" width="33.5703125" customWidth="1"/>
    <col min="35" max="35" width="12.5703125" bestFit="1" customWidth="1"/>
    <col min="36" max="48" width="7.140625" customWidth="1"/>
    <col min="50" max="50" width="53.5703125" bestFit="1" customWidth="1"/>
  </cols>
  <sheetData>
    <row r="1" spans="1:50" ht="89.25" customHeight="1" x14ac:dyDescent="0.25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</row>
    <row r="2" spans="1:50" ht="15.75" x14ac:dyDescent="0.25">
      <c r="A2" s="125" t="s">
        <v>23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23</v>
      </c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 t="s">
        <v>23</v>
      </c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</row>
    <row r="3" spans="1:50" ht="15" x14ac:dyDescent="0.25">
      <c r="A3" s="17"/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18" t="s">
        <v>94</v>
      </c>
      <c r="P3" s="118"/>
      <c r="Q3" s="18"/>
      <c r="R3" s="18"/>
      <c r="S3" s="18"/>
      <c r="T3" s="18"/>
      <c r="U3" s="17"/>
      <c r="V3" s="17"/>
      <c r="W3" s="18"/>
      <c r="X3" s="18"/>
      <c r="Y3" s="18"/>
      <c r="Z3" s="18"/>
      <c r="AA3" s="18"/>
      <c r="AB3" s="18"/>
      <c r="AC3" s="18"/>
      <c r="AD3" s="18"/>
      <c r="AE3" s="118" t="s">
        <v>96</v>
      </c>
      <c r="AF3" s="118"/>
      <c r="AG3" s="18"/>
      <c r="AH3" s="18"/>
      <c r="AI3" s="18"/>
      <c r="AJ3" s="18"/>
      <c r="AK3" s="17"/>
      <c r="AL3" s="17"/>
      <c r="AM3" s="18"/>
      <c r="AN3" s="18"/>
      <c r="AO3" s="18"/>
      <c r="AP3" s="18"/>
      <c r="AQ3" s="18"/>
      <c r="AR3" s="18"/>
      <c r="AS3" s="18"/>
      <c r="AT3" s="18"/>
      <c r="AU3" s="118" t="s">
        <v>95</v>
      </c>
      <c r="AV3" s="118"/>
    </row>
    <row r="4" spans="1:50" ht="15" x14ac:dyDescent="0.25">
      <c r="A4" s="43" t="str">
        <f>ORÇAMENTO!A7</f>
        <v>OBJETO: PAVIMENTAÇÃO POLIÉDRICA EM VIAS RURAIS DE ACESSO A COMUNIDADE DE LINHA TORTELLI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  <c r="Q4" s="43" t="str">
        <f>A4</f>
        <v>OBJETO: PAVIMENTAÇÃO POLIÉDRICA EM VIAS RURAIS DE ACESSO A COMUNIDADE DE LINHA TORTELLI</v>
      </c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5"/>
      <c r="AG4" s="43" t="str">
        <f>Q4</f>
        <v>OBJETO: PAVIMENTAÇÃO POLIÉDRICA EM VIAS RURAIS DE ACESSO A COMUNIDADE DE LINHA TORTELLI</v>
      </c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5"/>
    </row>
    <row r="5" spans="1:50" ht="15" x14ac:dyDescent="0.25">
      <c r="A5" s="43" t="str">
        <f>ORÇAMENTO!A8</f>
        <v>LOCALIZAÇÃO: COMUNIDADE DE LINHA TORTELLI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5"/>
      <c r="Q5" s="43" t="str">
        <f>A5</f>
        <v>LOCALIZAÇÃO: COMUNIDADE DE LINHA TORTELLI</v>
      </c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5"/>
      <c r="AG5" s="43" t="str">
        <f>Q5</f>
        <v>LOCALIZAÇÃO: COMUNIDADE DE LINHA TORTELLI</v>
      </c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5"/>
    </row>
    <row r="6" spans="1:50" ht="15" x14ac:dyDescent="0.25">
      <c r="A6" s="43" t="s">
        <v>24</v>
      </c>
      <c r="B6" s="46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8"/>
      <c r="Q6" s="43" t="str">
        <f>A6</f>
        <v>Agente Promotor / Proponente: PREFEITURA MUNICIPAL DE CORONEL VIVIDA-PR</v>
      </c>
      <c r="R6" s="46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8"/>
      <c r="AG6" s="43" t="str">
        <f>Q6</f>
        <v>Agente Promotor / Proponente: PREFEITURA MUNICIPAL DE CORONEL VIVIDA-PR</v>
      </c>
      <c r="AH6" s="46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8"/>
    </row>
    <row r="7" spans="1:50" ht="15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20"/>
      <c r="L7" s="20"/>
      <c r="M7" s="20"/>
      <c r="N7" s="20"/>
      <c r="O7" s="20"/>
      <c r="P7" s="20"/>
      <c r="Q7" s="20"/>
      <c r="R7" s="20"/>
      <c r="S7" s="20"/>
      <c r="T7" s="20"/>
      <c r="U7" s="19"/>
      <c r="V7" s="19"/>
      <c r="W7" s="19"/>
      <c r="X7" s="19"/>
      <c r="Y7" s="19"/>
      <c r="Z7" s="19"/>
      <c r="AA7" s="19"/>
      <c r="AB7" s="19"/>
      <c r="AC7" s="19"/>
      <c r="AD7" s="19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</row>
    <row r="8" spans="1:50" ht="15" x14ac:dyDescent="0.25">
      <c r="A8" s="121" t="s">
        <v>10</v>
      </c>
      <c r="B8" s="121" t="s">
        <v>98</v>
      </c>
      <c r="C8" s="123" t="s">
        <v>25</v>
      </c>
      <c r="D8" s="51" t="s">
        <v>30</v>
      </c>
      <c r="E8" s="121" t="s">
        <v>11</v>
      </c>
      <c r="F8" s="121"/>
      <c r="G8" s="121" t="s">
        <v>12</v>
      </c>
      <c r="H8" s="121"/>
      <c r="I8" s="121" t="s">
        <v>13</v>
      </c>
      <c r="J8" s="121"/>
      <c r="K8" s="121" t="s">
        <v>14</v>
      </c>
      <c r="L8" s="121"/>
      <c r="M8" s="121" t="s">
        <v>15</v>
      </c>
      <c r="N8" s="121"/>
      <c r="O8" s="121" t="s">
        <v>16</v>
      </c>
      <c r="P8" s="121"/>
      <c r="Q8" s="121" t="str">
        <f>A8</f>
        <v>Item</v>
      </c>
      <c r="R8" s="121" t="str">
        <f>B8</f>
        <v>AGRUPADORES DE SERVIÇOS</v>
      </c>
      <c r="S8" s="123" t="str">
        <f>C8</f>
        <v>Investimento</v>
      </c>
      <c r="T8" s="54" t="str">
        <f>D8</f>
        <v>PESO</v>
      </c>
      <c r="U8" s="121" t="s">
        <v>82</v>
      </c>
      <c r="V8" s="121"/>
      <c r="W8" s="121" t="s">
        <v>83</v>
      </c>
      <c r="X8" s="121"/>
      <c r="Y8" s="121" t="s">
        <v>84</v>
      </c>
      <c r="Z8" s="121"/>
      <c r="AA8" s="121" t="s">
        <v>85</v>
      </c>
      <c r="AB8" s="121"/>
      <c r="AC8" s="121" t="s">
        <v>86</v>
      </c>
      <c r="AD8" s="121"/>
      <c r="AE8" s="121" t="s">
        <v>87</v>
      </c>
      <c r="AF8" s="121"/>
      <c r="AG8" s="121" t="str">
        <f>Q8</f>
        <v>Item</v>
      </c>
      <c r="AH8" s="121" t="str">
        <f>R8</f>
        <v>AGRUPADORES DE SERVIÇOS</v>
      </c>
      <c r="AI8" s="123" t="str">
        <f>S8</f>
        <v>Investimento</v>
      </c>
      <c r="AJ8" s="54" t="str">
        <f>T8</f>
        <v>PESO</v>
      </c>
      <c r="AK8" s="121" t="s">
        <v>88</v>
      </c>
      <c r="AL8" s="121"/>
      <c r="AM8" s="121" t="s">
        <v>89</v>
      </c>
      <c r="AN8" s="121"/>
      <c r="AO8" s="121" t="s">
        <v>90</v>
      </c>
      <c r="AP8" s="121"/>
      <c r="AQ8" s="121" t="s">
        <v>91</v>
      </c>
      <c r="AR8" s="121"/>
      <c r="AS8" s="121" t="s">
        <v>92</v>
      </c>
      <c r="AT8" s="121"/>
      <c r="AU8" s="121" t="s">
        <v>93</v>
      </c>
      <c r="AV8" s="121"/>
    </row>
    <row r="9" spans="1:50" ht="15" x14ac:dyDescent="0.25">
      <c r="A9" s="122"/>
      <c r="B9" s="122"/>
      <c r="C9" s="124"/>
      <c r="D9" s="52" t="s">
        <v>31</v>
      </c>
      <c r="E9" s="21" t="s">
        <v>17</v>
      </c>
      <c r="F9" s="22" t="s">
        <v>18</v>
      </c>
      <c r="G9" s="21" t="s">
        <v>17</v>
      </c>
      <c r="H9" s="22" t="s">
        <v>18</v>
      </c>
      <c r="I9" s="21" t="s">
        <v>17</v>
      </c>
      <c r="J9" s="22" t="s">
        <v>18</v>
      </c>
      <c r="K9" s="21" t="s">
        <v>17</v>
      </c>
      <c r="L9" s="22" t="s">
        <v>18</v>
      </c>
      <c r="M9" s="21" t="s">
        <v>17</v>
      </c>
      <c r="N9" s="22" t="s">
        <v>18</v>
      </c>
      <c r="O9" s="21" t="s">
        <v>17</v>
      </c>
      <c r="P9" s="22" t="s">
        <v>18</v>
      </c>
      <c r="Q9" s="122"/>
      <c r="R9" s="122"/>
      <c r="S9" s="124"/>
      <c r="T9" s="55" t="str">
        <f>D9</f>
        <v>%</v>
      </c>
      <c r="U9" s="21" t="s">
        <v>17</v>
      </c>
      <c r="V9" s="22" t="s">
        <v>18</v>
      </c>
      <c r="W9" s="21" t="s">
        <v>17</v>
      </c>
      <c r="X9" s="22" t="s">
        <v>18</v>
      </c>
      <c r="Y9" s="21" t="s">
        <v>17</v>
      </c>
      <c r="Z9" s="22" t="s">
        <v>18</v>
      </c>
      <c r="AA9" s="21" t="s">
        <v>17</v>
      </c>
      <c r="AB9" s="22" t="s">
        <v>18</v>
      </c>
      <c r="AC9" s="21" t="s">
        <v>17</v>
      </c>
      <c r="AD9" s="22" t="s">
        <v>18</v>
      </c>
      <c r="AE9" s="21" t="s">
        <v>17</v>
      </c>
      <c r="AF9" s="22" t="s">
        <v>18</v>
      </c>
      <c r="AG9" s="122"/>
      <c r="AH9" s="122"/>
      <c r="AI9" s="124"/>
      <c r="AJ9" s="55" t="str">
        <f>T9</f>
        <v>%</v>
      </c>
      <c r="AK9" s="21" t="s">
        <v>17</v>
      </c>
      <c r="AL9" s="22" t="s">
        <v>18</v>
      </c>
      <c r="AM9" s="21" t="s">
        <v>17</v>
      </c>
      <c r="AN9" s="22" t="s">
        <v>18</v>
      </c>
      <c r="AO9" s="21" t="s">
        <v>17</v>
      </c>
      <c r="AP9" s="22" t="s">
        <v>18</v>
      </c>
      <c r="AQ9" s="21" t="s">
        <v>17</v>
      </c>
      <c r="AR9" s="22" t="s">
        <v>18</v>
      </c>
      <c r="AS9" s="21" t="s">
        <v>17</v>
      </c>
      <c r="AT9" s="22" t="s">
        <v>18</v>
      </c>
      <c r="AU9" s="21" t="s">
        <v>17</v>
      </c>
      <c r="AV9" s="22" t="s">
        <v>18</v>
      </c>
    </row>
    <row r="10" spans="1:50" ht="15" x14ac:dyDescent="0.25">
      <c r="A10" s="23">
        <v>1</v>
      </c>
      <c r="B10" s="24" t="str">
        <f>ORÇAMENTO!C11</f>
        <v>SERVIÇOS INICIAIS</v>
      </c>
      <c r="C10" s="25">
        <f>SUM(ORÇAMENTO!G12)</f>
        <v>3509.44</v>
      </c>
      <c r="D10" s="38">
        <f>((C10*100)/$C$25)/100</f>
        <v>3.6325563432111573E-3</v>
      </c>
      <c r="E10" s="26">
        <v>100</v>
      </c>
      <c r="F10" s="53">
        <f>E10</f>
        <v>100</v>
      </c>
      <c r="G10" s="26"/>
      <c r="H10" s="53">
        <f t="shared" ref="H10:H22" si="0">F10+G10</f>
        <v>100</v>
      </c>
      <c r="I10" s="26"/>
      <c r="J10" s="53">
        <f t="shared" ref="J10:J22" si="1">H10+I10</f>
        <v>100</v>
      </c>
      <c r="K10" s="26"/>
      <c r="L10" s="53">
        <f t="shared" ref="L10:L22" si="2">J10+K10</f>
        <v>100</v>
      </c>
      <c r="M10" s="26"/>
      <c r="N10" s="53">
        <f t="shared" ref="N10:N22" si="3">L10+M10</f>
        <v>100</v>
      </c>
      <c r="O10" s="27"/>
      <c r="P10" s="53">
        <f t="shared" ref="P10:P22" si="4">N10+O10</f>
        <v>100</v>
      </c>
      <c r="Q10" s="23">
        <f>A10</f>
        <v>1</v>
      </c>
      <c r="R10" s="56" t="str">
        <f>B10</f>
        <v>SERVIÇOS INICIAIS</v>
      </c>
      <c r="S10" s="25">
        <f>C10</f>
        <v>3509.44</v>
      </c>
      <c r="T10" s="38">
        <f>D10</f>
        <v>3.6325563432111573E-3</v>
      </c>
      <c r="U10" s="27"/>
      <c r="V10" s="53">
        <f t="shared" ref="V10:V24" si="5">P10+U10</f>
        <v>100</v>
      </c>
      <c r="W10" s="27"/>
      <c r="X10" s="53">
        <f t="shared" ref="X10:X13" si="6">V10+W10</f>
        <v>100</v>
      </c>
      <c r="Y10" s="27"/>
      <c r="Z10" s="53">
        <f t="shared" ref="Z10:Z13" si="7">X10+Y10</f>
        <v>100</v>
      </c>
      <c r="AA10" s="27"/>
      <c r="AB10" s="53">
        <f t="shared" ref="AB10:AB13" si="8">Z10+AA10</f>
        <v>100</v>
      </c>
      <c r="AC10" s="27"/>
      <c r="AD10" s="53">
        <f t="shared" ref="AD10:AD13" si="9">AB10+AC10</f>
        <v>100</v>
      </c>
      <c r="AE10" s="27"/>
      <c r="AF10" s="53">
        <f t="shared" ref="AF10:AF13" si="10">AD10+AE10</f>
        <v>100</v>
      </c>
      <c r="AG10" s="23">
        <f>Q10</f>
        <v>1</v>
      </c>
      <c r="AH10" s="56" t="str">
        <f>R10</f>
        <v>SERVIÇOS INICIAIS</v>
      </c>
      <c r="AI10" s="25">
        <f>S10</f>
        <v>3509.44</v>
      </c>
      <c r="AJ10" s="38">
        <f>T10</f>
        <v>3.6325563432111573E-3</v>
      </c>
      <c r="AK10" s="27"/>
      <c r="AL10" s="53">
        <f t="shared" ref="AL10:AL13" si="11">AF10+AK10</f>
        <v>100</v>
      </c>
      <c r="AM10" s="27"/>
      <c r="AN10" s="53">
        <f t="shared" ref="AN10:AN13" si="12">AL10+AM10</f>
        <v>100</v>
      </c>
      <c r="AO10" s="27"/>
      <c r="AP10" s="53">
        <f t="shared" ref="AP10:AP13" si="13">AN10+AO10</f>
        <v>100</v>
      </c>
      <c r="AQ10" s="27"/>
      <c r="AR10" s="53">
        <f t="shared" ref="AR10:AR13" si="14">AP10+AQ10</f>
        <v>100</v>
      </c>
      <c r="AS10" s="27"/>
      <c r="AT10" s="53">
        <f t="shared" ref="AT10:AT13" si="15">AR10+AS10</f>
        <v>100</v>
      </c>
      <c r="AU10" s="27"/>
      <c r="AV10" s="53">
        <f t="shared" ref="AV10:AV13" si="16">AT10+AU10</f>
        <v>100</v>
      </c>
      <c r="AX10" t="str">
        <f>IF(AV10&lt;&gt;100,"REVER PERCENTUAL ATÉ ATINGIR 100%- CASO NECESSÁRIO","PERCENTUAL CORRETO")</f>
        <v>PERCENTUAL CORRETO</v>
      </c>
    </row>
    <row r="11" spans="1:50" ht="15" x14ac:dyDescent="0.25">
      <c r="A11" s="23">
        <v>2</v>
      </c>
      <c r="B11" s="24" t="str">
        <f>ORÇAMENTO!C14</f>
        <v>MOVIMENTO DE TERRA</v>
      </c>
      <c r="C11" s="25">
        <f>SUM(ORÇAMENTO!G15:G16)</f>
        <v>81496.800000000003</v>
      </c>
      <c r="D11" s="38">
        <f t="shared" ref="D11:D18" si="17">((C11*100)/$C$25)/100</f>
        <v>8.4355828220858894E-2</v>
      </c>
      <c r="E11" s="26">
        <v>5.5</v>
      </c>
      <c r="F11" s="25">
        <f>E11</f>
        <v>5.5</v>
      </c>
      <c r="G11" s="26">
        <v>5.5</v>
      </c>
      <c r="H11" s="25">
        <f t="shared" si="0"/>
        <v>11</v>
      </c>
      <c r="I11" s="26">
        <v>5.5</v>
      </c>
      <c r="J11" s="25">
        <f t="shared" si="1"/>
        <v>16.5</v>
      </c>
      <c r="K11" s="26">
        <v>5.5</v>
      </c>
      <c r="L11" s="25">
        <f t="shared" si="2"/>
        <v>22</v>
      </c>
      <c r="M11" s="26">
        <v>5.5</v>
      </c>
      <c r="N11" s="25">
        <f t="shared" si="3"/>
        <v>27.5</v>
      </c>
      <c r="O11" s="27">
        <v>5.5</v>
      </c>
      <c r="P11" s="25">
        <f t="shared" si="4"/>
        <v>33</v>
      </c>
      <c r="Q11" s="23">
        <f>A11</f>
        <v>2</v>
      </c>
      <c r="R11" s="56" t="str">
        <f t="shared" ref="R11:R17" si="18">B11</f>
        <v>MOVIMENTO DE TERRA</v>
      </c>
      <c r="S11" s="25">
        <f t="shared" ref="S11:S17" si="19">C11</f>
        <v>81496.800000000003</v>
      </c>
      <c r="T11" s="38">
        <f t="shared" ref="T11:T17" si="20">D11</f>
        <v>8.4355828220858894E-2</v>
      </c>
      <c r="U11" s="27">
        <v>5.5</v>
      </c>
      <c r="V11" s="25">
        <f t="shared" si="5"/>
        <v>38.5</v>
      </c>
      <c r="W11" s="27">
        <v>5.5</v>
      </c>
      <c r="X11" s="25">
        <f t="shared" si="6"/>
        <v>44</v>
      </c>
      <c r="Y11" s="27">
        <v>5.5</v>
      </c>
      <c r="Z11" s="25">
        <f t="shared" si="7"/>
        <v>49.5</v>
      </c>
      <c r="AA11" s="27">
        <v>5.5</v>
      </c>
      <c r="AB11" s="25">
        <f t="shared" si="8"/>
        <v>55</v>
      </c>
      <c r="AC11" s="27">
        <v>5.5</v>
      </c>
      <c r="AD11" s="25">
        <f t="shared" si="9"/>
        <v>60.5</v>
      </c>
      <c r="AE11" s="27">
        <v>5.5</v>
      </c>
      <c r="AF11" s="25">
        <f t="shared" si="10"/>
        <v>66</v>
      </c>
      <c r="AG11" s="23">
        <f>Q11</f>
        <v>2</v>
      </c>
      <c r="AH11" s="56" t="str">
        <f t="shared" ref="AH11:AH17" si="21">R11</f>
        <v>MOVIMENTO DE TERRA</v>
      </c>
      <c r="AI11" s="25">
        <f t="shared" ref="AI11:AI17" si="22">S11</f>
        <v>81496.800000000003</v>
      </c>
      <c r="AJ11" s="38">
        <f t="shared" ref="AJ11:AJ17" si="23">T11</f>
        <v>8.4355828220858894E-2</v>
      </c>
      <c r="AK11" s="27">
        <v>5.5</v>
      </c>
      <c r="AL11" s="25">
        <f t="shared" si="11"/>
        <v>71.5</v>
      </c>
      <c r="AM11" s="27">
        <v>5.5</v>
      </c>
      <c r="AN11" s="25">
        <f t="shared" si="12"/>
        <v>77</v>
      </c>
      <c r="AO11" s="27">
        <v>5.5</v>
      </c>
      <c r="AP11" s="25">
        <f t="shared" si="13"/>
        <v>82.5</v>
      </c>
      <c r="AQ11" s="27">
        <v>5.5</v>
      </c>
      <c r="AR11" s="25">
        <f t="shared" si="14"/>
        <v>88</v>
      </c>
      <c r="AS11" s="27">
        <v>5.5</v>
      </c>
      <c r="AT11" s="25">
        <f t="shared" si="15"/>
        <v>93.5</v>
      </c>
      <c r="AU11" s="27">
        <v>6.5</v>
      </c>
      <c r="AV11" s="25">
        <f t="shared" si="16"/>
        <v>100</v>
      </c>
      <c r="AX11" t="str">
        <f t="shared" ref="AX11:AX23" si="24">IF(AV11&lt;&gt;100,"REVER PERCENTUAL ATÉ ATINGIR 100%- CASO NECESSÁRIO","PERCENTUAL CORRETO")</f>
        <v>PERCENTUAL CORRETO</v>
      </c>
    </row>
    <row r="12" spans="1:50" ht="15" x14ac:dyDescent="0.25">
      <c r="A12" s="23">
        <v>3</v>
      </c>
      <c r="B12" s="24" t="str">
        <f>ORÇAMENTO!C18</f>
        <v>PREPARAÇÃO DE CANCHA</v>
      </c>
      <c r="C12" s="25">
        <f>SUM(ORÇAMENTO!G19:G20)</f>
        <v>77772.56</v>
      </c>
      <c r="D12" s="38">
        <f t="shared" si="17"/>
        <v>8.0500936376108528E-2</v>
      </c>
      <c r="E12" s="26">
        <v>5.5</v>
      </c>
      <c r="F12" s="25">
        <f>IF(E12=0,0,E12)</f>
        <v>5.5</v>
      </c>
      <c r="G12" s="26">
        <v>5.5</v>
      </c>
      <c r="H12" s="25">
        <f t="shared" si="0"/>
        <v>11</v>
      </c>
      <c r="I12" s="26">
        <v>5.5</v>
      </c>
      <c r="J12" s="25">
        <f t="shared" si="1"/>
        <v>16.5</v>
      </c>
      <c r="K12" s="26">
        <v>5.5</v>
      </c>
      <c r="L12" s="25">
        <f t="shared" si="2"/>
        <v>22</v>
      </c>
      <c r="M12" s="26">
        <v>5.5</v>
      </c>
      <c r="N12" s="25">
        <f t="shared" si="3"/>
        <v>27.5</v>
      </c>
      <c r="O12" s="27">
        <v>5.5</v>
      </c>
      <c r="P12" s="25">
        <f t="shared" si="4"/>
        <v>33</v>
      </c>
      <c r="Q12" s="23">
        <f t="shared" ref="Q12:Q17" si="25">A12</f>
        <v>3</v>
      </c>
      <c r="R12" s="56" t="str">
        <f t="shared" si="18"/>
        <v>PREPARAÇÃO DE CANCHA</v>
      </c>
      <c r="S12" s="25">
        <f t="shared" si="19"/>
        <v>77772.56</v>
      </c>
      <c r="T12" s="38">
        <f t="shared" si="20"/>
        <v>8.0500936376108528E-2</v>
      </c>
      <c r="U12" s="27">
        <v>5.5</v>
      </c>
      <c r="V12" s="25">
        <f t="shared" si="5"/>
        <v>38.5</v>
      </c>
      <c r="W12" s="27">
        <v>5.5</v>
      </c>
      <c r="X12" s="25">
        <f t="shared" si="6"/>
        <v>44</v>
      </c>
      <c r="Y12" s="27">
        <v>5.5</v>
      </c>
      <c r="Z12" s="25">
        <f t="shared" si="7"/>
        <v>49.5</v>
      </c>
      <c r="AA12" s="27">
        <v>5.5</v>
      </c>
      <c r="AB12" s="25">
        <f t="shared" si="8"/>
        <v>55</v>
      </c>
      <c r="AC12" s="27">
        <v>5.5</v>
      </c>
      <c r="AD12" s="25">
        <f t="shared" si="9"/>
        <v>60.5</v>
      </c>
      <c r="AE12" s="27">
        <v>5.5</v>
      </c>
      <c r="AF12" s="25">
        <f t="shared" si="10"/>
        <v>66</v>
      </c>
      <c r="AG12" s="23">
        <f t="shared" ref="AG12:AG17" si="26">Q12</f>
        <v>3</v>
      </c>
      <c r="AH12" s="56" t="str">
        <f t="shared" si="21"/>
        <v>PREPARAÇÃO DE CANCHA</v>
      </c>
      <c r="AI12" s="25">
        <f t="shared" si="22"/>
        <v>77772.56</v>
      </c>
      <c r="AJ12" s="38">
        <f t="shared" si="23"/>
        <v>8.0500936376108528E-2</v>
      </c>
      <c r="AK12" s="27">
        <v>5.5</v>
      </c>
      <c r="AL12" s="25">
        <f t="shared" si="11"/>
        <v>71.5</v>
      </c>
      <c r="AM12" s="27">
        <v>5.5</v>
      </c>
      <c r="AN12" s="25">
        <f t="shared" si="12"/>
        <v>77</v>
      </c>
      <c r="AO12" s="27">
        <v>5.5</v>
      </c>
      <c r="AP12" s="25">
        <f t="shared" si="13"/>
        <v>82.5</v>
      </c>
      <c r="AQ12" s="27">
        <v>5.5</v>
      </c>
      <c r="AR12" s="25">
        <f t="shared" si="14"/>
        <v>88</v>
      </c>
      <c r="AS12" s="27">
        <v>5.5</v>
      </c>
      <c r="AT12" s="25">
        <f t="shared" si="15"/>
        <v>93.5</v>
      </c>
      <c r="AU12" s="27">
        <v>6.5</v>
      </c>
      <c r="AV12" s="25">
        <f t="shared" si="16"/>
        <v>100</v>
      </c>
      <c r="AX12" t="str">
        <f t="shared" si="24"/>
        <v>PERCENTUAL CORRETO</v>
      </c>
    </row>
    <row r="13" spans="1:50" ht="15" x14ac:dyDescent="0.25">
      <c r="A13" s="23">
        <v>4</v>
      </c>
      <c r="B13" s="24" t="str">
        <f>ORÇAMENTO!C22</f>
        <v>PAVIMENTAÇÃO</v>
      </c>
      <c r="C13" s="25">
        <f>SUM(ORÇAMENTO!G23:G24)</f>
        <v>659515.5</v>
      </c>
      <c r="D13" s="38">
        <f t="shared" si="17"/>
        <v>0.68265227870289225</v>
      </c>
      <c r="E13" s="26">
        <v>5.5</v>
      </c>
      <c r="F13" s="25">
        <f t="shared" ref="F13:F23" si="27">E13</f>
        <v>5.5</v>
      </c>
      <c r="G13" s="26">
        <v>5.5</v>
      </c>
      <c r="H13" s="25">
        <f t="shared" si="0"/>
        <v>11</v>
      </c>
      <c r="I13" s="26">
        <v>5.5</v>
      </c>
      <c r="J13" s="25">
        <f t="shared" si="1"/>
        <v>16.5</v>
      </c>
      <c r="K13" s="26">
        <v>5.5</v>
      </c>
      <c r="L13" s="25">
        <f t="shared" si="2"/>
        <v>22</v>
      </c>
      <c r="M13" s="26">
        <v>5.5</v>
      </c>
      <c r="N13" s="25">
        <f t="shared" si="3"/>
        <v>27.5</v>
      </c>
      <c r="O13" s="27">
        <v>5.5</v>
      </c>
      <c r="P13" s="25">
        <f t="shared" si="4"/>
        <v>33</v>
      </c>
      <c r="Q13" s="23">
        <f t="shared" si="25"/>
        <v>4</v>
      </c>
      <c r="R13" s="56" t="str">
        <f t="shared" si="18"/>
        <v>PAVIMENTAÇÃO</v>
      </c>
      <c r="S13" s="25">
        <f t="shared" si="19"/>
        <v>659515.5</v>
      </c>
      <c r="T13" s="38">
        <f t="shared" si="20"/>
        <v>0.68265227870289225</v>
      </c>
      <c r="U13" s="27">
        <v>5.5</v>
      </c>
      <c r="V13" s="25">
        <f t="shared" si="5"/>
        <v>38.5</v>
      </c>
      <c r="W13" s="27">
        <v>5.5</v>
      </c>
      <c r="X13" s="25">
        <f t="shared" si="6"/>
        <v>44</v>
      </c>
      <c r="Y13" s="27">
        <v>5.5</v>
      </c>
      <c r="Z13" s="25">
        <f t="shared" si="7"/>
        <v>49.5</v>
      </c>
      <c r="AA13" s="27">
        <v>5.5</v>
      </c>
      <c r="AB13" s="25">
        <f t="shared" si="8"/>
        <v>55</v>
      </c>
      <c r="AC13" s="27">
        <v>5.5</v>
      </c>
      <c r="AD13" s="25">
        <f t="shared" si="9"/>
        <v>60.5</v>
      </c>
      <c r="AE13" s="27">
        <v>5.5</v>
      </c>
      <c r="AF13" s="25">
        <f t="shared" si="10"/>
        <v>66</v>
      </c>
      <c r="AG13" s="23">
        <f t="shared" si="26"/>
        <v>4</v>
      </c>
      <c r="AH13" s="56" t="str">
        <f t="shared" si="21"/>
        <v>PAVIMENTAÇÃO</v>
      </c>
      <c r="AI13" s="25">
        <f t="shared" si="22"/>
        <v>659515.5</v>
      </c>
      <c r="AJ13" s="38">
        <f t="shared" si="23"/>
        <v>0.68265227870289225</v>
      </c>
      <c r="AK13" s="27">
        <v>5.5</v>
      </c>
      <c r="AL13" s="25">
        <f t="shared" si="11"/>
        <v>71.5</v>
      </c>
      <c r="AM13" s="27">
        <v>5.5</v>
      </c>
      <c r="AN13" s="25">
        <f t="shared" si="12"/>
        <v>77</v>
      </c>
      <c r="AO13" s="27">
        <v>5.5</v>
      </c>
      <c r="AP13" s="25">
        <f t="shared" si="13"/>
        <v>82.5</v>
      </c>
      <c r="AQ13" s="27">
        <v>5.5</v>
      </c>
      <c r="AR13" s="25">
        <f t="shared" si="14"/>
        <v>88</v>
      </c>
      <c r="AS13" s="27">
        <v>5.5</v>
      </c>
      <c r="AT13" s="25">
        <f t="shared" si="15"/>
        <v>93.5</v>
      </c>
      <c r="AU13" s="27">
        <v>6.5</v>
      </c>
      <c r="AV13" s="25">
        <f t="shared" si="16"/>
        <v>100</v>
      </c>
      <c r="AX13" t="str">
        <f t="shared" si="24"/>
        <v>PERCENTUAL CORRETO</v>
      </c>
    </row>
    <row r="14" spans="1:50" ht="15" x14ac:dyDescent="0.25">
      <c r="A14" s="23">
        <v>5</v>
      </c>
      <c r="B14" s="24" t="str">
        <f>ORÇAMENTO!C26</f>
        <v>MEIO FIO</v>
      </c>
      <c r="C14" s="25">
        <f>SUM(ORÇAMENTO!G27:G28)</f>
        <v>92646.6</v>
      </c>
      <c r="D14" s="38">
        <f t="shared" si="17"/>
        <v>9.5896779687627304E-2</v>
      </c>
      <c r="E14" s="26">
        <v>5.5</v>
      </c>
      <c r="F14" s="25">
        <f t="shared" si="27"/>
        <v>5.5</v>
      </c>
      <c r="G14" s="26">
        <v>5.5</v>
      </c>
      <c r="H14" s="25">
        <f>F14+G14</f>
        <v>11</v>
      </c>
      <c r="I14" s="26">
        <v>5.5</v>
      </c>
      <c r="J14" s="25">
        <f>H14+I14</f>
        <v>16.5</v>
      </c>
      <c r="K14" s="26">
        <v>5.5</v>
      </c>
      <c r="L14" s="25">
        <f>J14+K14</f>
        <v>22</v>
      </c>
      <c r="M14" s="26">
        <v>5.5</v>
      </c>
      <c r="N14" s="25">
        <f>L14+M14</f>
        <v>27.5</v>
      </c>
      <c r="O14" s="27">
        <v>5.5</v>
      </c>
      <c r="P14" s="25">
        <f>N14+O14</f>
        <v>33</v>
      </c>
      <c r="Q14" s="23">
        <f t="shared" si="25"/>
        <v>5</v>
      </c>
      <c r="R14" s="56" t="str">
        <f t="shared" si="18"/>
        <v>MEIO FIO</v>
      </c>
      <c r="S14" s="25">
        <f t="shared" si="19"/>
        <v>92646.6</v>
      </c>
      <c r="T14" s="38">
        <f t="shared" si="20"/>
        <v>9.5896779687627304E-2</v>
      </c>
      <c r="U14" s="27">
        <v>5.5</v>
      </c>
      <c r="V14" s="25">
        <f t="shared" si="5"/>
        <v>38.5</v>
      </c>
      <c r="W14" s="27">
        <v>5.5</v>
      </c>
      <c r="X14" s="25">
        <f>V14+W14</f>
        <v>44</v>
      </c>
      <c r="Y14" s="27">
        <v>5.5</v>
      </c>
      <c r="Z14" s="25">
        <f>X14+Y14</f>
        <v>49.5</v>
      </c>
      <c r="AA14" s="27">
        <v>5.5</v>
      </c>
      <c r="AB14" s="25">
        <f>Z14+AA14</f>
        <v>55</v>
      </c>
      <c r="AC14" s="27">
        <v>5.5</v>
      </c>
      <c r="AD14" s="25">
        <f>AB14+AC14</f>
        <v>60.5</v>
      </c>
      <c r="AE14" s="27">
        <v>5.5</v>
      </c>
      <c r="AF14" s="25">
        <f>AD14+AE14</f>
        <v>66</v>
      </c>
      <c r="AG14" s="23">
        <f t="shared" si="26"/>
        <v>5</v>
      </c>
      <c r="AH14" s="56" t="str">
        <f t="shared" si="21"/>
        <v>MEIO FIO</v>
      </c>
      <c r="AI14" s="25">
        <f t="shared" si="22"/>
        <v>92646.6</v>
      </c>
      <c r="AJ14" s="38">
        <f t="shared" si="23"/>
        <v>9.5896779687627304E-2</v>
      </c>
      <c r="AK14" s="27">
        <v>5.5</v>
      </c>
      <c r="AL14" s="25">
        <f>AF14+AK14</f>
        <v>71.5</v>
      </c>
      <c r="AM14" s="27">
        <v>5.5</v>
      </c>
      <c r="AN14" s="25">
        <f>AL14+AM14</f>
        <v>77</v>
      </c>
      <c r="AO14" s="27">
        <v>5.5</v>
      </c>
      <c r="AP14" s="25">
        <f>AN14+AO14</f>
        <v>82.5</v>
      </c>
      <c r="AQ14" s="27">
        <v>5.5</v>
      </c>
      <c r="AR14" s="25">
        <f>AP14+AQ14</f>
        <v>88</v>
      </c>
      <c r="AS14" s="27">
        <v>5.5</v>
      </c>
      <c r="AT14" s="25">
        <f>AR14+AS14</f>
        <v>93.5</v>
      </c>
      <c r="AU14" s="27">
        <v>6.5</v>
      </c>
      <c r="AV14" s="25">
        <f>AT14+AU14</f>
        <v>100</v>
      </c>
      <c r="AX14" t="str">
        <f t="shared" si="24"/>
        <v>PERCENTUAL CORRETO</v>
      </c>
    </row>
    <row r="15" spans="1:50" ht="15" x14ac:dyDescent="0.25">
      <c r="A15" s="23">
        <v>6</v>
      </c>
      <c r="B15" s="24" t="str">
        <f>ORÇAMENTO!C30</f>
        <v>REJUNTE</v>
      </c>
      <c r="C15" s="25">
        <f>SUM(ORÇAMENTO!G31:G32)</f>
        <v>28784.510000000002</v>
      </c>
      <c r="D15" s="38">
        <f t="shared" si="17"/>
        <v>2.9794313162990388E-2</v>
      </c>
      <c r="E15" s="26">
        <v>5.5</v>
      </c>
      <c r="F15" s="25">
        <f t="shared" si="27"/>
        <v>5.5</v>
      </c>
      <c r="G15" s="26">
        <v>5.5</v>
      </c>
      <c r="H15" s="25">
        <f t="shared" si="0"/>
        <v>11</v>
      </c>
      <c r="I15" s="26">
        <v>5.5</v>
      </c>
      <c r="J15" s="25">
        <f t="shared" si="1"/>
        <v>16.5</v>
      </c>
      <c r="K15" s="26">
        <v>5.5</v>
      </c>
      <c r="L15" s="25">
        <f t="shared" si="2"/>
        <v>22</v>
      </c>
      <c r="M15" s="26">
        <v>5.5</v>
      </c>
      <c r="N15" s="25">
        <f t="shared" si="3"/>
        <v>27.5</v>
      </c>
      <c r="O15" s="27">
        <v>5.5</v>
      </c>
      <c r="P15" s="25">
        <f t="shared" si="4"/>
        <v>33</v>
      </c>
      <c r="Q15" s="23">
        <f t="shared" si="25"/>
        <v>6</v>
      </c>
      <c r="R15" s="56" t="str">
        <f t="shared" si="18"/>
        <v>REJUNTE</v>
      </c>
      <c r="S15" s="25">
        <f t="shared" si="19"/>
        <v>28784.510000000002</v>
      </c>
      <c r="T15" s="38">
        <f t="shared" si="20"/>
        <v>2.9794313162990388E-2</v>
      </c>
      <c r="U15" s="27">
        <v>5.5</v>
      </c>
      <c r="V15" s="25">
        <f t="shared" si="5"/>
        <v>38.5</v>
      </c>
      <c r="W15" s="27">
        <v>5.5</v>
      </c>
      <c r="X15" s="25">
        <f t="shared" ref="X15:X16" si="28">V15+W15</f>
        <v>44</v>
      </c>
      <c r="Y15" s="27">
        <v>5.5</v>
      </c>
      <c r="Z15" s="25">
        <f t="shared" ref="Z15:Z16" si="29">X15+Y15</f>
        <v>49.5</v>
      </c>
      <c r="AA15" s="27">
        <v>5.5</v>
      </c>
      <c r="AB15" s="25">
        <f t="shared" ref="AB15:AB16" si="30">Z15+AA15</f>
        <v>55</v>
      </c>
      <c r="AC15" s="27">
        <v>5.5</v>
      </c>
      <c r="AD15" s="25">
        <f t="shared" ref="AD15:AD16" si="31">AB15+AC15</f>
        <v>60.5</v>
      </c>
      <c r="AE15" s="27">
        <v>5.5</v>
      </c>
      <c r="AF15" s="25">
        <f t="shared" ref="AF15:AF16" si="32">AD15+AE15</f>
        <v>66</v>
      </c>
      <c r="AG15" s="23">
        <f t="shared" si="26"/>
        <v>6</v>
      </c>
      <c r="AH15" s="56" t="str">
        <f t="shared" si="21"/>
        <v>REJUNTE</v>
      </c>
      <c r="AI15" s="25">
        <f t="shared" si="22"/>
        <v>28784.510000000002</v>
      </c>
      <c r="AJ15" s="38">
        <f t="shared" si="23"/>
        <v>2.9794313162990388E-2</v>
      </c>
      <c r="AK15" s="27">
        <v>5.5</v>
      </c>
      <c r="AL15" s="25">
        <f t="shared" ref="AL15:AL16" si="33">AF15+AK15</f>
        <v>71.5</v>
      </c>
      <c r="AM15" s="27">
        <v>5.5</v>
      </c>
      <c r="AN15" s="25">
        <f t="shared" ref="AN15:AN16" si="34">AL15+AM15</f>
        <v>77</v>
      </c>
      <c r="AO15" s="27">
        <v>5.5</v>
      </c>
      <c r="AP15" s="25">
        <f t="shared" ref="AP15:AP16" si="35">AN15+AO15</f>
        <v>82.5</v>
      </c>
      <c r="AQ15" s="27">
        <v>5.5</v>
      </c>
      <c r="AR15" s="25">
        <f t="shared" ref="AR15:AR16" si="36">AP15+AQ15</f>
        <v>88</v>
      </c>
      <c r="AS15" s="27">
        <v>5.5</v>
      </c>
      <c r="AT15" s="25">
        <f t="shared" ref="AT15:AT16" si="37">AR15+AS15</f>
        <v>93.5</v>
      </c>
      <c r="AU15" s="27">
        <v>6.5</v>
      </c>
      <c r="AV15" s="25">
        <f t="shared" ref="AV15:AV16" si="38">AT15+AU15</f>
        <v>100</v>
      </c>
      <c r="AX15" t="str">
        <f t="shared" si="24"/>
        <v>PERCENTUAL CORRETO</v>
      </c>
    </row>
    <row r="16" spans="1:50" ht="15" x14ac:dyDescent="0.25">
      <c r="A16" s="23">
        <v>7</v>
      </c>
      <c r="B16" s="24" t="str">
        <f>ORÇAMENTO!C34</f>
        <v>CONTENÇÃO LATERAL</v>
      </c>
      <c r="C16" s="25">
        <f>SUM(ORÇAMENTO!G35:G36)</f>
        <v>7902.7199999999993</v>
      </c>
      <c r="D16" s="38">
        <f t="shared" si="17"/>
        <v>8.179959100204498E-3</v>
      </c>
      <c r="E16" s="26">
        <v>5.5</v>
      </c>
      <c r="F16" s="25">
        <f t="shared" si="27"/>
        <v>5.5</v>
      </c>
      <c r="G16" s="26">
        <v>5.5</v>
      </c>
      <c r="H16" s="25">
        <f t="shared" si="0"/>
        <v>11</v>
      </c>
      <c r="I16" s="26">
        <v>5.5</v>
      </c>
      <c r="J16" s="25">
        <f t="shared" si="1"/>
        <v>16.5</v>
      </c>
      <c r="K16" s="26">
        <v>5.5</v>
      </c>
      <c r="L16" s="25">
        <f t="shared" si="2"/>
        <v>22</v>
      </c>
      <c r="M16" s="26">
        <v>5.5</v>
      </c>
      <c r="N16" s="25">
        <f t="shared" si="3"/>
        <v>27.5</v>
      </c>
      <c r="O16" s="27">
        <v>5.5</v>
      </c>
      <c r="P16" s="25">
        <f t="shared" si="4"/>
        <v>33</v>
      </c>
      <c r="Q16" s="23">
        <f t="shared" si="25"/>
        <v>7</v>
      </c>
      <c r="R16" s="56" t="str">
        <f t="shared" si="18"/>
        <v>CONTENÇÃO LATERAL</v>
      </c>
      <c r="S16" s="25">
        <f t="shared" si="19"/>
        <v>7902.7199999999993</v>
      </c>
      <c r="T16" s="38">
        <f t="shared" si="20"/>
        <v>8.179959100204498E-3</v>
      </c>
      <c r="U16" s="27">
        <v>5.5</v>
      </c>
      <c r="V16" s="25">
        <f t="shared" si="5"/>
        <v>38.5</v>
      </c>
      <c r="W16" s="27">
        <v>5.5</v>
      </c>
      <c r="X16" s="25">
        <f t="shared" si="28"/>
        <v>44</v>
      </c>
      <c r="Y16" s="27">
        <v>5.5</v>
      </c>
      <c r="Z16" s="25">
        <f t="shared" si="29"/>
        <v>49.5</v>
      </c>
      <c r="AA16" s="27">
        <v>5.5</v>
      </c>
      <c r="AB16" s="25">
        <f t="shared" si="30"/>
        <v>55</v>
      </c>
      <c r="AC16" s="27">
        <v>5.5</v>
      </c>
      <c r="AD16" s="25">
        <f t="shared" si="31"/>
        <v>60.5</v>
      </c>
      <c r="AE16" s="27">
        <v>5.5</v>
      </c>
      <c r="AF16" s="25">
        <f t="shared" si="32"/>
        <v>66</v>
      </c>
      <c r="AG16" s="23">
        <f t="shared" si="26"/>
        <v>7</v>
      </c>
      <c r="AH16" s="56" t="str">
        <f t="shared" si="21"/>
        <v>CONTENÇÃO LATERAL</v>
      </c>
      <c r="AI16" s="25">
        <f t="shared" si="22"/>
        <v>7902.7199999999993</v>
      </c>
      <c r="AJ16" s="38">
        <f t="shared" si="23"/>
        <v>8.179959100204498E-3</v>
      </c>
      <c r="AK16" s="27">
        <v>5.5</v>
      </c>
      <c r="AL16" s="25">
        <f t="shared" si="33"/>
        <v>71.5</v>
      </c>
      <c r="AM16" s="27">
        <v>5.5</v>
      </c>
      <c r="AN16" s="25">
        <f t="shared" si="34"/>
        <v>77</v>
      </c>
      <c r="AO16" s="27">
        <v>5.5</v>
      </c>
      <c r="AP16" s="25">
        <f t="shared" si="35"/>
        <v>82.5</v>
      </c>
      <c r="AQ16" s="27">
        <v>5.5</v>
      </c>
      <c r="AR16" s="25">
        <f t="shared" si="36"/>
        <v>88</v>
      </c>
      <c r="AS16" s="27">
        <v>5.5</v>
      </c>
      <c r="AT16" s="25">
        <f t="shared" si="37"/>
        <v>93.5</v>
      </c>
      <c r="AU16" s="27">
        <v>6.5</v>
      </c>
      <c r="AV16" s="25">
        <f t="shared" si="38"/>
        <v>100</v>
      </c>
      <c r="AX16" t="str">
        <f t="shared" si="24"/>
        <v>PERCENTUAL CORRETO</v>
      </c>
    </row>
    <row r="17" spans="1:50" ht="15" x14ac:dyDescent="0.25">
      <c r="A17" s="23">
        <v>8</v>
      </c>
      <c r="B17" s="24" t="str">
        <f>ORÇAMENTO!C38</f>
        <v>COMPACTAÇÃO</v>
      </c>
      <c r="C17" s="25">
        <f>SUM(ORÇAMENTO!G39)</f>
        <v>13230</v>
      </c>
      <c r="D17" s="38">
        <f t="shared" si="17"/>
        <v>1.3694127957931639E-2</v>
      </c>
      <c r="E17" s="26">
        <v>5.5</v>
      </c>
      <c r="F17" s="25">
        <f t="shared" si="27"/>
        <v>5.5</v>
      </c>
      <c r="G17" s="26">
        <v>5.5</v>
      </c>
      <c r="H17" s="25">
        <f>F17+G17</f>
        <v>11</v>
      </c>
      <c r="I17" s="26">
        <v>5.5</v>
      </c>
      <c r="J17" s="25">
        <f>H17+I17</f>
        <v>16.5</v>
      </c>
      <c r="K17" s="26">
        <v>5.5</v>
      </c>
      <c r="L17" s="25">
        <f>J17+K17</f>
        <v>22</v>
      </c>
      <c r="M17" s="26">
        <v>5.5</v>
      </c>
      <c r="N17" s="25">
        <f>L17+M17</f>
        <v>27.5</v>
      </c>
      <c r="O17" s="27">
        <v>5.5</v>
      </c>
      <c r="P17" s="25">
        <f>N17+O17</f>
        <v>33</v>
      </c>
      <c r="Q17" s="23">
        <f t="shared" si="25"/>
        <v>8</v>
      </c>
      <c r="R17" s="56" t="str">
        <f t="shared" si="18"/>
        <v>COMPACTAÇÃO</v>
      </c>
      <c r="S17" s="25">
        <f t="shared" si="19"/>
        <v>13230</v>
      </c>
      <c r="T17" s="38">
        <f t="shared" si="20"/>
        <v>1.3694127957931639E-2</v>
      </c>
      <c r="U17" s="27">
        <v>5.5</v>
      </c>
      <c r="V17" s="25">
        <f t="shared" si="5"/>
        <v>38.5</v>
      </c>
      <c r="W17" s="27">
        <v>5.5</v>
      </c>
      <c r="X17" s="25">
        <f>V17+W17</f>
        <v>44</v>
      </c>
      <c r="Y17" s="27">
        <v>5.5</v>
      </c>
      <c r="Z17" s="25">
        <f>X17+Y17</f>
        <v>49.5</v>
      </c>
      <c r="AA17" s="27">
        <v>5.5</v>
      </c>
      <c r="AB17" s="25">
        <f>Z17+AA17</f>
        <v>55</v>
      </c>
      <c r="AC17" s="27">
        <v>5.5</v>
      </c>
      <c r="AD17" s="25">
        <f>AB17+AC17</f>
        <v>60.5</v>
      </c>
      <c r="AE17" s="27">
        <v>5.5</v>
      </c>
      <c r="AF17" s="25">
        <f>AD17+AE17</f>
        <v>66</v>
      </c>
      <c r="AG17" s="23">
        <f t="shared" si="26"/>
        <v>8</v>
      </c>
      <c r="AH17" s="56" t="str">
        <f t="shared" si="21"/>
        <v>COMPACTAÇÃO</v>
      </c>
      <c r="AI17" s="25">
        <f t="shared" si="22"/>
        <v>13230</v>
      </c>
      <c r="AJ17" s="38">
        <f t="shared" si="23"/>
        <v>1.3694127957931639E-2</v>
      </c>
      <c r="AK17" s="27">
        <v>5.5</v>
      </c>
      <c r="AL17" s="25">
        <f>AF17+AK17</f>
        <v>71.5</v>
      </c>
      <c r="AM17" s="27">
        <v>5.5</v>
      </c>
      <c r="AN17" s="25">
        <f>AL17+AM17</f>
        <v>77</v>
      </c>
      <c r="AO17" s="27">
        <v>5.5</v>
      </c>
      <c r="AP17" s="25">
        <f>AN17+AO17</f>
        <v>82.5</v>
      </c>
      <c r="AQ17" s="27">
        <v>5.5</v>
      </c>
      <c r="AR17" s="25">
        <f>AP17+AQ17</f>
        <v>88</v>
      </c>
      <c r="AS17" s="27">
        <v>5.5</v>
      </c>
      <c r="AT17" s="25">
        <f>AR17+AS17</f>
        <v>93.5</v>
      </c>
      <c r="AU17" s="27">
        <v>6.5</v>
      </c>
      <c r="AV17" s="25">
        <f>AT17+AU17</f>
        <v>100</v>
      </c>
      <c r="AX17" t="str">
        <f t="shared" si="24"/>
        <v>PERCENTUAL CORRETO</v>
      </c>
    </row>
    <row r="18" spans="1:50" ht="15" x14ac:dyDescent="0.25">
      <c r="A18" s="23">
        <v>9</v>
      </c>
      <c r="B18" s="24" t="str">
        <f>ORÇAMENTO!C41</f>
        <v>SINALIZAÇÃO</v>
      </c>
      <c r="C18" s="25">
        <f>SUM(ORÇAMENTO!G42:G43)</f>
        <v>1249.3899999999999</v>
      </c>
      <c r="D18" s="38">
        <f t="shared" si="17"/>
        <v>1.2932204481753747E-3</v>
      </c>
      <c r="E18" s="26"/>
      <c r="F18" s="25">
        <f t="shared" si="27"/>
        <v>0</v>
      </c>
      <c r="G18" s="26"/>
      <c r="H18" s="25">
        <f t="shared" si="0"/>
        <v>0</v>
      </c>
      <c r="I18" s="26"/>
      <c r="J18" s="25">
        <f t="shared" si="1"/>
        <v>0</v>
      </c>
      <c r="K18" s="26"/>
      <c r="L18" s="25">
        <f t="shared" si="2"/>
        <v>0</v>
      </c>
      <c r="M18" s="26"/>
      <c r="N18" s="25">
        <f t="shared" si="3"/>
        <v>0</v>
      </c>
      <c r="O18" s="27"/>
      <c r="P18" s="25">
        <f t="shared" si="4"/>
        <v>0</v>
      </c>
      <c r="Q18" s="23">
        <f t="shared" ref="Q18" si="39">A18</f>
        <v>9</v>
      </c>
      <c r="R18" s="56" t="str">
        <f t="shared" ref="R18" si="40">B18</f>
        <v>SINALIZAÇÃO</v>
      </c>
      <c r="S18" s="25">
        <f t="shared" ref="S18" si="41">C18</f>
        <v>1249.3899999999999</v>
      </c>
      <c r="T18" s="38">
        <f t="shared" ref="T18" si="42">D18</f>
        <v>1.2932204481753747E-3</v>
      </c>
      <c r="U18" s="27"/>
      <c r="V18" s="25">
        <f t="shared" si="5"/>
        <v>0</v>
      </c>
      <c r="W18" s="27"/>
      <c r="X18" s="25">
        <f t="shared" ref="X18:X23" si="43">V18+W18</f>
        <v>0</v>
      </c>
      <c r="Y18" s="27"/>
      <c r="Z18" s="25">
        <f t="shared" ref="Z18:Z23" si="44">X18+Y18</f>
        <v>0</v>
      </c>
      <c r="AA18" s="27"/>
      <c r="AB18" s="25">
        <f t="shared" ref="AB18:AB23" si="45">Z18+AA18</f>
        <v>0</v>
      </c>
      <c r="AC18" s="27"/>
      <c r="AD18" s="25">
        <f t="shared" ref="AD18:AD23" si="46">AB18+AC18</f>
        <v>0</v>
      </c>
      <c r="AE18" s="27"/>
      <c r="AF18" s="25">
        <f t="shared" ref="AF18:AF23" si="47">AD18+AE18</f>
        <v>0</v>
      </c>
      <c r="AG18" s="23">
        <f t="shared" ref="AG18" si="48">Q18</f>
        <v>9</v>
      </c>
      <c r="AH18" s="56" t="str">
        <f t="shared" ref="AH18" si="49">R18</f>
        <v>SINALIZAÇÃO</v>
      </c>
      <c r="AI18" s="25">
        <f t="shared" ref="AI18" si="50">S18</f>
        <v>1249.3899999999999</v>
      </c>
      <c r="AJ18" s="38">
        <f t="shared" ref="AJ18" si="51">T18</f>
        <v>1.2932204481753747E-3</v>
      </c>
      <c r="AK18" s="27"/>
      <c r="AL18" s="25">
        <f t="shared" ref="AL18:AL23" si="52">AF18+AK18</f>
        <v>0</v>
      </c>
      <c r="AM18" s="27"/>
      <c r="AN18" s="25">
        <f t="shared" ref="AN18:AN23" si="53">AL18+AM18</f>
        <v>0</v>
      </c>
      <c r="AO18" s="27"/>
      <c r="AP18" s="25">
        <f t="shared" ref="AP18:AP23" si="54">AN18+AO18</f>
        <v>0</v>
      </c>
      <c r="AQ18" s="27"/>
      <c r="AR18" s="25">
        <f t="shared" ref="AR18:AR23" si="55">AP18+AQ18</f>
        <v>0</v>
      </c>
      <c r="AS18" s="27"/>
      <c r="AT18" s="25">
        <f t="shared" ref="AT18:AT23" si="56">AR18+AS18</f>
        <v>0</v>
      </c>
      <c r="AU18" s="27">
        <v>100</v>
      </c>
      <c r="AV18" s="25">
        <f t="shared" ref="AV18:AV23" si="57">AT18+AU18</f>
        <v>100</v>
      </c>
      <c r="AX18" t="str">
        <f t="shared" si="24"/>
        <v>PERCENTUAL CORRETO</v>
      </c>
    </row>
    <row r="19" spans="1:50" ht="15" x14ac:dyDescent="0.25">
      <c r="A19" s="23"/>
      <c r="B19" s="24"/>
      <c r="C19" s="25"/>
      <c r="D19" s="38"/>
      <c r="E19" s="26"/>
      <c r="F19" s="25">
        <f t="shared" si="27"/>
        <v>0</v>
      </c>
      <c r="G19" s="26"/>
      <c r="H19" s="25">
        <f t="shared" si="0"/>
        <v>0</v>
      </c>
      <c r="I19" s="26"/>
      <c r="J19" s="25">
        <f t="shared" si="1"/>
        <v>0</v>
      </c>
      <c r="K19" s="26"/>
      <c r="L19" s="25">
        <f t="shared" si="2"/>
        <v>0</v>
      </c>
      <c r="M19" s="26"/>
      <c r="N19" s="25">
        <f t="shared" si="3"/>
        <v>0</v>
      </c>
      <c r="O19" s="27"/>
      <c r="P19" s="25">
        <f t="shared" si="4"/>
        <v>0</v>
      </c>
      <c r="Q19" s="57"/>
      <c r="R19" s="57"/>
      <c r="S19" s="57"/>
      <c r="T19" s="57"/>
      <c r="U19" s="27"/>
      <c r="V19" s="25">
        <f t="shared" si="5"/>
        <v>0</v>
      </c>
      <c r="W19" s="27"/>
      <c r="X19" s="25">
        <f t="shared" si="43"/>
        <v>0</v>
      </c>
      <c r="Y19" s="27"/>
      <c r="Z19" s="25">
        <f t="shared" si="44"/>
        <v>0</v>
      </c>
      <c r="AA19" s="27"/>
      <c r="AB19" s="25">
        <f t="shared" si="45"/>
        <v>0</v>
      </c>
      <c r="AC19" s="27"/>
      <c r="AD19" s="25">
        <f t="shared" si="46"/>
        <v>0</v>
      </c>
      <c r="AE19" s="27"/>
      <c r="AF19" s="25">
        <f t="shared" si="47"/>
        <v>0</v>
      </c>
      <c r="AG19" s="57"/>
      <c r="AH19" s="57"/>
      <c r="AI19" s="57"/>
      <c r="AJ19" s="57"/>
      <c r="AK19" s="27"/>
      <c r="AL19" s="25">
        <f t="shared" si="52"/>
        <v>0</v>
      </c>
      <c r="AM19" s="27"/>
      <c r="AN19" s="25">
        <f t="shared" si="53"/>
        <v>0</v>
      </c>
      <c r="AO19" s="27"/>
      <c r="AP19" s="25">
        <f t="shared" si="54"/>
        <v>0</v>
      </c>
      <c r="AQ19" s="27"/>
      <c r="AR19" s="25">
        <f t="shared" si="55"/>
        <v>0</v>
      </c>
      <c r="AS19" s="27"/>
      <c r="AT19" s="25">
        <f t="shared" si="56"/>
        <v>0</v>
      </c>
      <c r="AU19" s="27"/>
      <c r="AV19" s="25">
        <f t="shared" si="57"/>
        <v>0</v>
      </c>
      <c r="AX19" t="str">
        <f t="shared" si="24"/>
        <v>REVER PERCENTUAL ATÉ ATINGIR 100%- CASO NECESSÁRIO</v>
      </c>
    </row>
    <row r="20" spans="1:50" ht="15" x14ac:dyDescent="0.25">
      <c r="A20" s="23"/>
      <c r="B20" s="24"/>
      <c r="C20" s="25"/>
      <c r="D20" s="38"/>
      <c r="E20" s="26"/>
      <c r="F20" s="25">
        <f t="shared" si="27"/>
        <v>0</v>
      </c>
      <c r="G20" s="26"/>
      <c r="H20" s="25">
        <f t="shared" si="0"/>
        <v>0</v>
      </c>
      <c r="I20" s="26"/>
      <c r="J20" s="25">
        <f t="shared" si="1"/>
        <v>0</v>
      </c>
      <c r="K20" s="26"/>
      <c r="L20" s="25">
        <f t="shared" si="2"/>
        <v>0</v>
      </c>
      <c r="M20" s="26"/>
      <c r="N20" s="25">
        <f t="shared" si="3"/>
        <v>0</v>
      </c>
      <c r="O20" s="27"/>
      <c r="P20" s="25">
        <f t="shared" si="4"/>
        <v>0</v>
      </c>
      <c r="Q20" s="57"/>
      <c r="R20" s="57"/>
      <c r="S20" s="57"/>
      <c r="T20" s="57"/>
      <c r="U20" s="27"/>
      <c r="V20" s="25">
        <f t="shared" si="5"/>
        <v>0</v>
      </c>
      <c r="W20" s="27"/>
      <c r="X20" s="25">
        <f t="shared" si="43"/>
        <v>0</v>
      </c>
      <c r="Y20" s="27"/>
      <c r="Z20" s="25">
        <f t="shared" si="44"/>
        <v>0</v>
      </c>
      <c r="AA20" s="27"/>
      <c r="AB20" s="25">
        <f t="shared" si="45"/>
        <v>0</v>
      </c>
      <c r="AC20" s="27"/>
      <c r="AD20" s="25">
        <f t="shared" si="46"/>
        <v>0</v>
      </c>
      <c r="AE20" s="27"/>
      <c r="AF20" s="25">
        <f t="shared" si="47"/>
        <v>0</v>
      </c>
      <c r="AG20" s="57"/>
      <c r="AH20" s="57"/>
      <c r="AI20" s="57"/>
      <c r="AJ20" s="57"/>
      <c r="AK20" s="27"/>
      <c r="AL20" s="25">
        <f t="shared" si="52"/>
        <v>0</v>
      </c>
      <c r="AM20" s="27"/>
      <c r="AN20" s="25">
        <f t="shared" si="53"/>
        <v>0</v>
      </c>
      <c r="AO20" s="27"/>
      <c r="AP20" s="25">
        <f t="shared" si="54"/>
        <v>0</v>
      </c>
      <c r="AQ20" s="27"/>
      <c r="AR20" s="25">
        <f t="shared" si="55"/>
        <v>0</v>
      </c>
      <c r="AS20" s="27"/>
      <c r="AT20" s="25">
        <f t="shared" si="56"/>
        <v>0</v>
      </c>
      <c r="AU20" s="27"/>
      <c r="AV20" s="25">
        <f t="shared" si="57"/>
        <v>0</v>
      </c>
      <c r="AX20" t="str">
        <f t="shared" si="24"/>
        <v>REVER PERCENTUAL ATÉ ATINGIR 100%- CASO NECESSÁRIO</v>
      </c>
    </row>
    <row r="21" spans="1:50" ht="15" x14ac:dyDescent="0.25">
      <c r="A21" s="23"/>
      <c r="B21" s="24"/>
      <c r="C21" s="25"/>
      <c r="D21" s="38"/>
      <c r="E21" s="26"/>
      <c r="F21" s="25">
        <f t="shared" si="27"/>
        <v>0</v>
      </c>
      <c r="G21" s="26"/>
      <c r="H21" s="25">
        <f t="shared" si="0"/>
        <v>0</v>
      </c>
      <c r="I21" s="26"/>
      <c r="J21" s="25">
        <f t="shared" si="1"/>
        <v>0</v>
      </c>
      <c r="K21" s="26"/>
      <c r="L21" s="25">
        <f t="shared" si="2"/>
        <v>0</v>
      </c>
      <c r="M21" s="26"/>
      <c r="N21" s="25">
        <f t="shared" si="3"/>
        <v>0</v>
      </c>
      <c r="O21" s="27"/>
      <c r="P21" s="25">
        <f t="shared" si="4"/>
        <v>0</v>
      </c>
      <c r="Q21" s="57"/>
      <c r="R21" s="57"/>
      <c r="S21" s="57"/>
      <c r="T21" s="57"/>
      <c r="U21" s="27"/>
      <c r="V21" s="25">
        <f t="shared" si="5"/>
        <v>0</v>
      </c>
      <c r="W21" s="27"/>
      <c r="X21" s="25">
        <f t="shared" si="43"/>
        <v>0</v>
      </c>
      <c r="Y21" s="27"/>
      <c r="Z21" s="25">
        <f t="shared" si="44"/>
        <v>0</v>
      </c>
      <c r="AA21" s="27"/>
      <c r="AB21" s="25">
        <f t="shared" si="45"/>
        <v>0</v>
      </c>
      <c r="AC21" s="27"/>
      <c r="AD21" s="25">
        <f t="shared" si="46"/>
        <v>0</v>
      </c>
      <c r="AE21" s="27"/>
      <c r="AF21" s="25">
        <f t="shared" si="47"/>
        <v>0</v>
      </c>
      <c r="AG21" s="57"/>
      <c r="AH21" s="57"/>
      <c r="AI21" s="57"/>
      <c r="AJ21" s="57"/>
      <c r="AK21" s="27"/>
      <c r="AL21" s="25">
        <f t="shared" si="52"/>
        <v>0</v>
      </c>
      <c r="AM21" s="27"/>
      <c r="AN21" s="25">
        <f t="shared" si="53"/>
        <v>0</v>
      </c>
      <c r="AO21" s="27"/>
      <c r="AP21" s="25">
        <f t="shared" si="54"/>
        <v>0</v>
      </c>
      <c r="AQ21" s="27"/>
      <c r="AR21" s="25">
        <f t="shared" si="55"/>
        <v>0</v>
      </c>
      <c r="AS21" s="27"/>
      <c r="AT21" s="25">
        <f t="shared" si="56"/>
        <v>0</v>
      </c>
      <c r="AU21" s="27"/>
      <c r="AV21" s="25">
        <f t="shared" si="57"/>
        <v>0</v>
      </c>
      <c r="AX21" t="str">
        <f t="shared" si="24"/>
        <v>REVER PERCENTUAL ATÉ ATINGIR 100%- CASO NECESSÁRIO</v>
      </c>
    </row>
    <row r="22" spans="1:50" ht="15" x14ac:dyDescent="0.25">
      <c r="A22" s="23"/>
      <c r="B22" s="24"/>
      <c r="C22" s="25"/>
      <c r="D22" s="38"/>
      <c r="E22" s="26"/>
      <c r="F22" s="25">
        <f t="shared" si="27"/>
        <v>0</v>
      </c>
      <c r="G22" s="26"/>
      <c r="H22" s="25">
        <f t="shared" si="0"/>
        <v>0</v>
      </c>
      <c r="I22" s="26"/>
      <c r="J22" s="25">
        <f t="shared" si="1"/>
        <v>0</v>
      </c>
      <c r="K22" s="26"/>
      <c r="L22" s="25">
        <f t="shared" si="2"/>
        <v>0</v>
      </c>
      <c r="M22" s="26"/>
      <c r="N22" s="25">
        <f t="shared" si="3"/>
        <v>0</v>
      </c>
      <c r="O22" s="27"/>
      <c r="P22" s="25">
        <f t="shared" si="4"/>
        <v>0</v>
      </c>
      <c r="Q22" s="57"/>
      <c r="R22" s="57"/>
      <c r="S22" s="57"/>
      <c r="T22" s="57"/>
      <c r="U22" s="27"/>
      <c r="V22" s="25">
        <f t="shared" si="5"/>
        <v>0</v>
      </c>
      <c r="W22" s="27"/>
      <c r="X22" s="25">
        <f t="shared" si="43"/>
        <v>0</v>
      </c>
      <c r="Y22" s="27"/>
      <c r="Z22" s="25">
        <f t="shared" si="44"/>
        <v>0</v>
      </c>
      <c r="AA22" s="27"/>
      <c r="AB22" s="25">
        <f t="shared" si="45"/>
        <v>0</v>
      </c>
      <c r="AC22" s="27"/>
      <c r="AD22" s="25">
        <f t="shared" si="46"/>
        <v>0</v>
      </c>
      <c r="AE22" s="27"/>
      <c r="AF22" s="25">
        <f t="shared" si="47"/>
        <v>0</v>
      </c>
      <c r="AG22" s="57"/>
      <c r="AH22" s="57"/>
      <c r="AI22" s="57"/>
      <c r="AJ22" s="57"/>
      <c r="AK22" s="27"/>
      <c r="AL22" s="25">
        <f t="shared" si="52"/>
        <v>0</v>
      </c>
      <c r="AM22" s="27"/>
      <c r="AN22" s="25">
        <f t="shared" si="53"/>
        <v>0</v>
      </c>
      <c r="AO22" s="27"/>
      <c r="AP22" s="25">
        <f t="shared" si="54"/>
        <v>0</v>
      </c>
      <c r="AQ22" s="27"/>
      <c r="AR22" s="25">
        <f t="shared" si="55"/>
        <v>0</v>
      </c>
      <c r="AS22" s="27"/>
      <c r="AT22" s="25">
        <f t="shared" si="56"/>
        <v>0</v>
      </c>
      <c r="AU22" s="27"/>
      <c r="AV22" s="25">
        <f t="shared" si="57"/>
        <v>0</v>
      </c>
      <c r="AX22" t="str">
        <f t="shared" si="24"/>
        <v>REVER PERCENTUAL ATÉ ATINGIR 100%- CASO NECESSÁRIO</v>
      </c>
    </row>
    <row r="23" spans="1:50" ht="15" x14ac:dyDescent="0.25">
      <c r="A23" s="23"/>
      <c r="B23" s="24"/>
      <c r="C23" s="25"/>
      <c r="D23" s="25"/>
      <c r="E23" s="26"/>
      <c r="F23" s="25">
        <f t="shared" si="27"/>
        <v>0</v>
      </c>
      <c r="G23" s="26"/>
      <c r="H23" s="25">
        <f t="shared" ref="H23" si="58">F23+G23</f>
        <v>0</v>
      </c>
      <c r="I23" s="26"/>
      <c r="J23" s="25">
        <f t="shared" ref="J23" si="59">H23+I23</f>
        <v>0</v>
      </c>
      <c r="K23" s="49"/>
      <c r="L23" s="25">
        <f t="shared" ref="L23" si="60">J23+K23</f>
        <v>0</v>
      </c>
      <c r="M23" s="49"/>
      <c r="N23" s="25">
        <f t="shared" ref="N23" si="61">L23+M23</f>
        <v>0</v>
      </c>
      <c r="O23" s="50"/>
      <c r="P23" s="25">
        <f t="shared" ref="P23" si="62">N23+O23</f>
        <v>0</v>
      </c>
      <c r="Q23" s="58"/>
      <c r="R23" s="58"/>
      <c r="S23" s="57"/>
      <c r="T23" s="57"/>
      <c r="U23" s="50"/>
      <c r="V23" s="25">
        <f t="shared" si="5"/>
        <v>0</v>
      </c>
      <c r="W23" s="50"/>
      <c r="X23" s="25">
        <f t="shared" si="43"/>
        <v>0</v>
      </c>
      <c r="Y23" s="50"/>
      <c r="Z23" s="25">
        <f t="shared" si="44"/>
        <v>0</v>
      </c>
      <c r="AA23" s="50"/>
      <c r="AB23" s="25">
        <f t="shared" si="45"/>
        <v>0</v>
      </c>
      <c r="AC23" s="50"/>
      <c r="AD23" s="25">
        <f t="shared" si="46"/>
        <v>0</v>
      </c>
      <c r="AE23" s="50"/>
      <c r="AF23" s="25">
        <f t="shared" si="47"/>
        <v>0</v>
      </c>
      <c r="AG23" s="58"/>
      <c r="AH23" s="58"/>
      <c r="AI23" s="57"/>
      <c r="AJ23" s="57"/>
      <c r="AK23" s="50"/>
      <c r="AL23" s="25">
        <f t="shared" si="52"/>
        <v>0</v>
      </c>
      <c r="AM23" s="50"/>
      <c r="AN23" s="25">
        <f t="shared" si="53"/>
        <v>0</v>
      </c>
      <c r="AO23" s="50"/>
      <c r="AP23" s="25">
        <f t="shared" si="54"/>
        <v>0</v>
      </c>
      <c r="AQ23" s="50"/>
      <c r="AR23" s="25">
        <f t="shared" si="55"/>
        <v>0</v>
      </c>
      <c r="AS23" s="50"/>
      <c r="AT23" s="25">
        <f t="shared" si="56"/>
        <v>0</v>
      </c>
      <c r="AU23" s="50"/>
      <c r="AV23" s="25">
        <f t="shared" si="57"/>
        <v>0</v>
      </c>
      <c r="AX23" t="str">
        <f t="shared" si="24"/>
        <v>REVER PERCENTUAL ATÉ ATINGIR 100%- CASO NECESSÁRIO</v>
      </c>
    </row>
    <row r="24" spans="1:50" ht="15" x14ac:dyDescent="0.25">
      <c r="A24" s="28"/>
      <c r="B24" s="29" t="s">
        <v>26</v>
      </c>
      <c r="C24" s="39">
        <f>C25/SUM(C10:C18)</f>
        <v>1</v>
      </c>
      <c r="D24" s="39">
        <f>SUM(D10:D23)</f>
        <v>1.0000000000000002</v>
      </c>
      <c r="E24" s="40">
        <f>(($D$10*E10)/100)+(($D$11*E11)/100)+(($D$12*E12)/100)+(($D$13*E13)/100)+(($D$14*E14)/100)+(($D$15*E15)/100)+(($D$16*E16)/100)+(($D$17*E17)/100)+(($D$18*E18)/100)+(($D$19*E19)/100)+(($D$20*E20)/100)+(($D$21*E21)/100)+(($D$22*E22)/100)</f>
        <v>5.8361638619684894E-2</v>
      </c>
      <c r="F24" s="40">
        <f>E24</f>
        <v>5.8361638619684894E-2</v>
      </c>
      <c r="G24" s="40">
        <f>(($D$10*G10)/100)+(($D$11*G11)/100)+(($D$12*G12)/100)+(($D$13*G13)/100)+(($D$14*G14)/100)+(($D$15*G15)/100)+(($D$16*G16)/100)+(($D$17*G17)/100)+(($D$18*G18)/100)+(($D$19*G19)/100)+(($D$20*G20)/100)+(($D$21*G21)/100)+(($D$22*G22)/100)</f>
        <v>5.4729082276473738E-2</v>
      </c>
      <c r="H24" s="40">
        <f>E24+G24</f>
        <v>0.11309072089615863</v>
      </c>
      <c r="I24" s="40">
        <f>(($D$10*I10)/100)+(($D$11*I11)/100)+(($D$12*I12)/100)+(($D$13*I13)/100)+(($D$14*I14)/100)+(($D$15*I15)/100)+(($D$16*I16)/100)+(($D$17*I17)/100)+(($D$18*I18)/100)+(($D$19*I19)/100)+(($D$20*I20)/100)+(($D$21*I21)/100)+(($D$22*I22)/100)</f>
        <v>5.4729082276473738E-2</v>
      </c>
      <c r="J24" s="40">
        <f>I24+H24</f>
        <v>0.16781980317263237</v>
      </c>
      <c r="K24" s="40">
        <f>(($D$10*K10)/100)+(($D$11*K11)/100)+(($D$12*K12)/100)+(($D$13*K13)/100)+(($D$14*K14)/100)+(($D$15*K15)/100)+(($D$16*K16)/100)+(($D$17*K17)/100)+(($D$18*K18)/100)+(($D$19*K19)/100)+(($D$20*K20)/100)+(($D$21*K21)/100)+(($D$22*K22)/100)</f>
        <v>5.4729082276473738E-2</v>
      </c>
      <c r="L24" s="40">
        <f>K24+J24</f>
        <v>0.22254888544910612</v>
      </c>
      <c r="M24" s="40">
        <f>(($D$10*M10)/100)+(($D$11*M11)/100)+(($D$12*M12)/100)+(($D$13*M13)/100)+(($D$14*M14)/100)+(($D$15*M15)/100)+(($D$16*M16)/100)+(($D$17*M17)/100)+(($D$18*M18)/100)+(($D$19*M19)/100)+(($D$20*M20)/100)+(($D$21*M21)/100)+(($D$22*M22)/100)</f>
        <v>5.4729082276473738E-2</v>
      </c>
      <c r="N24" s="40">
        <f>L24+M24</f>
        <v>0.27727796772557983</v>
      </c>
      <c r="O24" s="40">
        <f>(($D$10*O10)/100)+(($D$11*O11)/100)+(($D$12*O12)/100)+(($D$13*O13)/100)+(($D$14*O14)/100)+(($D$15*O15)/100)+(($D$16*O16)/100)+(($D$17*O17)/100)+(($D$18*O18)/100)+(($D$19*O19)/100)+(($D$20*O20)/100)+(($D$21*O21)/100)+(($D$22*O22)/100)</f>
        <v>5.4729082276473738E-2</v>
      </c>
      <c r="P24" s="40">
        <f>N24+O24</f>
        <v>0.33200705000205355</v>
      </c>
      <c r="Q24" s="62"/>
      <c r="R24" s="29" t="str">
        <f>B24</f>
        <v>TOTAL (%)</v>
      </c>
      <c r="S24" s="59">
        <f>S25/SUM(S10:S18)</f>
        <v>1</v>
      </c>
      <c r="T24" s="39">
        <f>SUM(T10:T23)</f>
        <v>1.0000000000000002</v>
      </c>
      <c r="U24" s="40">
        <f t="shared" ref="U24:AU24" si="63">(($D$10*U10)/100)+(($D$11*U11)/100)+(($D$12*U12)/100)+(($D$13*U13)/100)+(($D$14*U14)/100)+(($D$15*U15)/100)+(($D$16*U16)/100)+(($D$17*U17)/100)+(($D$18*U18)/100)+(($D$19*U19)/100)+(($D$20*U20)/100)+(($D$21*U21)/100)+(($D$22*U22)/100)</f>
        <v>5.4729082276473738E-2</v>
      </c>
      <c r="V24" s="40">
        <f t="shared" si="5"/>
        <v>0.38673613227852727</v>
      </c>
      <c r="W24" s="40">
        <f t="shared" si="63"/>
        <v>5.4729082276473738E-2</v>
      </c>
      <c r="X24" s="40">
        <f>V24+W24</f>
        <v>0.44146521455500098</v>
      </c>
      <c r="Y24" s="40">
        <f t="shared" si="63"/>
        <v>5.4729082276473738E-2</v>
      </c>
      <c r="Z24" s="40">
        <f>X24+Y24</f>
        <v>0.4961942968314747</v>
      </c>
      <c r="AA24" s="40">
        <f t="shared" si="63"/>
        <v>5.4729082276473738E-2</v>
      </c>
      <c r="AB24" s="40">
        <f>Z24+AA24</f>
        <v>0.55092337910794842</v>
      </c>
      <c r="AC24" s="40">
        <f t="shared" si="63"/>
        <v>5.4729082276473738E-2</v>
      </c>
      <c r="AD24" s="40">
        <f>AB24+AC24</f>
        <v>0.60565246138442219</v>
      </c>
      <c r="AE24" s="40">
        <f t="shared" si="63"/>
        <v>5.4729082276473738E-2</v>
      </c>
      <c r="AF24" s="40">
        <f>AD24+AE24</f>
        <v>0.66038154366089596</v>
      </c>
      <c r="AG24" s="62"/>
      <c r="AH24" s="29" t="str">
        <f>R24</f>
        <v>TOTAL (%)</v>
      </c>
      <c r="AI24" s="59">
        <f>AI25/SUM(AI10:AI18)</f>
        <v>1</v>
      </c>
      <c r="AJ24" s="39">
        <f>SUM(AJ10:AJ23)</f>
        <v>1.0000000000000002</v>
      </c>
      <c r="AK24" s="40">
        <f t="shared" si="63"/>
        <v>5.4729082276473738E-2</v>
      </c>
      <c r="AL24" s="40">
        <f>AF24+AK24</f>
        <v>0.71511062593736974</v>
      </c>
      <c r="AM24" s="40">
        <f t="shared" si="63"/>
        <v>5.4729082276473738E-2</v>
      </c>
      <c r="AN24" s="40">
        <f>AL24+AM24</f>
        <v>0.76983970821384351</v>
      </c>
      <c r="AO24" s="40">
        <f t="shared" si="63"/>
        <v>5.4729082276473738E-2</v>
      </c>
      <c r="AP24" s="40">
        <f>AN24+AO24</f>
        <v>0.82456879049031728</v>
      </c>
      <c r="AQ24" s="40">
        <f t="shared" si="63"/>
        <v>5.4729082276473738E-2</v>
      </c>
      <c r="AR24" s="40">
        <f>AP24+AQ24</f>
        <v>0.87929787276679106</v>
      </c>
      <c r="AS24" s="40">
        <f t="shared" si="63"/>
        <v>5.4729082276473738E-2</v>
      </c>
      <c r="AT24" s="40">
        <f>AR24+AS24</f>
        <v>0.93402695504326483</v>
      </c>
      <c r="AU24" s="40">
        <f t="shared" si="63"/>
        <v>6.5973044956735241E-2</v>
      </c>
      <c r="AV24" s="40">
        <f>AT24+AU24</f>
        <v>1</v>
      </c>
    </row>
    <row r="25" spans="1:50" ht="15" x14ac:dyDescent="0.25">
      <c r="A25" s="32"/>
      <c r="B25" s="33" t="s">
        <v>27</v>
      </c>
      <c r="C25" s="31">
        <f>SUM(C10:C23)</f>
        <v>966107.52</v>
      </c>
      <c r="D25" s="39">
        <f>D24</f>
        <v>1.0000000000000002</v>
      </c>
      <c r="E25" s="126">
        <f>($C$25*E24)</f>
        <v>56383.61795</v>
      </c>
      <c r="F25" s="126"/>
      <c r="G25" s="126">
        <f t="shared" ref="G25" si="64">($C$25*G24)</f>
        <v>52874.177949999998</v>
      </c>
      <c r="H25" s="126"/>
      <c r="I25" s="126">
        <f t="shared" ref="I25" si="65">($C$25*I24)</f>
        <v>52874.177949999998</v>
      </c>
      <c r="J25" s="126"/>
      <c r="K25" s="126">
        <f t="shared" ref="K25" si="66">($C$25*K24)</f>
        <v>52874.177949999998</v>
      </c>
      <c r="L25" s="126"/>
      <c r="M25" s="126">
        <f t="shared" ref="M25" si="67">($C$25*M24)</f>
        <v>52874.177949999998</v>
      </c>
      <c r="N25" s="126"/>
      <c r="O25" s="126">
        <f t="shared" ref="O25" si="68">($C$25*O24)</f>
        <v>52874.177949999998</v>
      </c>
      <c r="P25" s="126"/>
      <c r="Q25" s="63"/>
      <c r="R25" s="33" t="str">
        <f>B25</f>
        <v>TOTAL (R$)</v>
      </c>
      <c r="S25" s="60">
        <f>SUM(S10:S23)</f>
        <v>966107.52</v>
      </c>
      <c r="T25" s="39">
        <f>T24</f>
        <v>1.0000000000000002</v>
      </c>
      <c r="U25" s="126">
        <f t="shared" ref="U25" si="69">($C$25*U24)</f>
        <v>52874.177949999998</v>
      </c>
      <c r="V25" s="126"/>
      <c r="W25" s="126">
        <f t="shared" ref="W25" si="70">($C$25*W24)</f>
        <v>52874.177949999998</v>
      </c>
      <c r="X25" s="126"/>
      <c r="Y25" s="126">
        <f t="shared" ref="Y25" si="71">($C$25*Y24)</f>
        <v>52874.177949999998</v>
      </c>
      <c r="Z25" s="126"/>
      <c r="AA25" s="126">
        <f t="shared" ref="AA25" si="72">($C$25*AA24)</f>
        <v>52874.177949999998</v>
      </c>
      <c r="AB25" s="126"/>
      <c r="AC25" s="126">
        <f>($C$25*AC24)</f>
        <v>52874.177949999998</v>
      </c>
      <c r="AD25" s="126"/>
      <c r="AE25" s="126">
        <f>($C$25*AE24)</f>
        <v>52874.177949999998</v>
      </c>
      <c r="AF25" s="126"/>
      <c r="AG25" s="63"/>
      <c r="AH25" s="33" t="str">
        <f>R25</f>
        <v>TOTAL (R$)</v>
      </c>
      <c r="AI25" s="60">
        <f>SUM(AI10:AI23)</f>
        <v>966107.52</v>
      </c>
      <c r="AJ25" s="39">
        <f>AJ24</f>
        <v>1.0000000000000002</v>
      </c>
      <c r="AK25" s="126">
        <f t="shared" ref="AK25" si="73">($C$25*AK24)</f>
        <v>52874.177949999998</v>
      </c>
      <c r="AL25" s="126"/>
      <c r="AM25" s="126">
        <f t="shared" ref="AM25" si="74">($C$25*AM24)</f>
        <v>52874.177949999998</v>
      </c>
      <c r="AN25" s="126"/>
      <c r="AO25" s="126">
        <f t="shared" ref="AO25" si="75">($C$25*AO24)</f>
        <v>52874.177949999998</v>
      </c>
      <c r="AP25" s="126"/>
      <c r="AQ25" s="126">
        <f t="shared" ref="AQ25" si="76">($C$25*AQ24)</f>
        <v>52874.177949999998</v>
      </c>
      <c r="AR25" s="126"/>
      <c r="AS25" s="126">
        <f t="shared" ref="AS25" si="77">($C$25*AS24)</f>
        <v>52874.177949999998</v>
      </c>
      <c r="AT25" s="126"/>
      <c r="AU25" s="126">
        <f t="shared" ref="AU25" si="78">($C$25*AU24)</f>
        <v>63737.054849999993</v>
      </c>
      <c r="AV25" s="126"/>
    </row>
    <row r="26" spans="1:50" ht="15" x14ac:dyDescent="0.25">
      <c r="A26" s="41"/>
      <c r="B26" s="42" t="s">
        <v>28</v>
      </c>
      <c r="C26" s="30"/>
      <c r="D26" s="30"/>
      <c r="E26" s="126">
        <f>E25</f>
        <v>56383.61795</v>
      </c>
      <c r="F26" s="126"/>
      <c r="G26" s="126">
        <f>G25+E26</f>
        <v>109257.7959</v>
      </c>
      <c r="H26" s="126"/>
      <c r="I26" s="126">
        <f t="shared" ref="I26" si="79">I25+G26</f>
        <v>162131.97385000001</v>
      </c>
      <c r="J26" s="126"/>
      <c r="K26" s="126">
        <f t="shared" ref="K26" si="80">K25+I26</f>
        <v>215006.15179999999</v>
      </c>
      <c r="L26" s="126"/>
      <c r="M26" s="126">
        <f t="shared" ref="M26" si="81">M25+K26</f>
        <v>267880.32974999998</v>
      </c>
      <c r="N26" s="126"/>
      <c r="O26" s="126">
        <f t="shared" ref="O26" si="82">O25+M26</f>
        <v>320754.50769999996</v>
      </c>
      <c r="P26" s="126"/>
      <c r="Q26" s="64"/>
      <c r="R26" s="42" t="str">
        <f>B26</f>
        <v>ACUMULADO (R$)</v>
      </c>
      <c r="S26" s="61"/>
      <c r="T26" s="30"/>
      <c r="U26" s="126">
        <f>U25+O26</f>
        <v>373628.68564999994</v>
      </c>
      <c r="V26" s="126"/>
      <c r="W26" s="126">
        <f t="shared" ref="W26" si="83">W25+U26</f>
        <v>426502.86359999992</v>
      </c>
      <c r="X26" s="126"/>
      <c r="Y26" s="126">
        <f t="shared" ref="Y26" si="84">Y25+W26</f>
        <v>479377.04154999991</v>
      </c>
      <c r="Z26" s="126"/>
      <c r="AA26" s="126">
        <f t="shared" ref="AA26" si="85">AA25+Y26</f>
        <v>532251.21949999989</v>
      </c>
      <c r="AB26" s="126"/>
      <c r="AC26" s="126">
        <f t="shared" ref="AC26" si="86">AC25+AA26</f>
        <v>585125.39744999993</v>
      </c>
      <c r="AD26" s="126"/>
      <c r="AE26" s="126">
        <f t="shared" ref="AE26" si="87">AE25+AC26</f>
        <v>637999.57539999997</v>
      </c>
      <c r="AF26" s="126"/>
      <c r="AG26" s="64"/>
      <c r="AH26" s="42" t="str">
        <f>R26</f>
        <v>ACUMULADO (R$)</v>
      </c>
      <c r="AI26" s="61"/>
      <c r="AJ26" s="30"/>
      <c r="AK26" s="126">
        <f t="shared" ref="AK26" si="88">AK25+AE26</f>
        <v>690873.75335000001</v>
      </c>
      <c r="AL26" s="126"/>
      <c r="AM26" s="126">
        <f t="shared" ref="AM26" si="89">AM25+AK26</f>
        <v>743747.93130000005</v>
      </c>
      <c r="AN26" s="126"/>
      <c r="AO26" s="126">
        <f t="shared" ref="AO26" si="90">AO25+AM26</f>
        <v>796622.1092500001</v>
      </c>
      <c r="AP26" s="126"/>
      <c r="AQ26" s="126">
        <f t="shared" ref="AQ26" si="91">AQ25+AO26</f>
        <v>849496.28720000014</v>
      </c>
      <c r="AR26" s="126"/>
      <c r="AS26" s="126">
        <f t="shared" ref="AS26" si="92">AS25+AQ26</f>
        <v>902370.46515000018</v>
      </c>
      <c r="AT26" s="126"/>
      <c r="AU26" s="126">
        <f t="shared" ref="AU26" si="93">AU25+AS26</f>
        <v>966107.52000000014</v>
      </c>
      <c r="AV26" s="126"/>
    </row>
    <row r="27" spans="1:50" ht="15" x14ac:dyDescent="0.25"/>
    <row r="28" spans="1:50" ht="15" x14ac:dyDescent="0.25"/>
    <row r="29" spans="1:50" ht="15" x14ac:dyDescent="0.25"/>
    <row r="30" spans="1:50" ht="15" x14ac:dyDescent="0.25"/>
    <row r="31" spans="1:50" s="68" customFormat="1" x14ac:dyDescent="0.2">
      <c r="A31" s="120" t="str">
        <f>ORÇAMENTO!A51</f>
        <v>CORONEL VIVIDA, XX DE XXXXXXXXXXX DE 2017</v>
      </c>
      <c r="B31" s="117"/>
      <c r="C31" s="67"/>
      <c r="D31" s="117"/>
      <c r="E31" s="117"/>
      <c r="F31" s="117"/>
      <c r="G31" s="117"/>
      <c r="H31" s="117"/>
      <c r="I31" s="117"/>
      <c r="J31" s="117"/>
      <c r="K31" s="67"/>
      <c r="L31" s="67"/>
      <c r="M31" s="67"/>
      <c r="N31" s="67"/>
      <c r="O31" s="67"/>
      <c r="P31" s="67"/>
      <c r="Q31" s="120" t="str">
        <f>A31</f>
        <v>CORONEL VIVIDA, XX DE XXXXXXXXXXX DE 2017</v>
      </c>
      <c r="R31" s="117"/>
      <c r="S31" s="67"/>
      <c r="T31" s="117"/>
      <c r="U31" s="117"/>
      <c r="V31" s="117"/>
      <c r="W31" s="117"/>
      <c r="X31" s="117"/>
      <c r="Y31" s="117"/>
      <c r="Z31" s="117"/>
      <c r="AA31" s="67"/>
      <c r="AB31" s="67"/>
      <c r="AC31" s="67"/>
      <c r="AD31" s="67"/>
      <c r="AE31" s="67"/>
      <c r="AF31" s="67"/>
      <c r="AG31" s="120" t="str">
        <f>A31</f>
        <v>CORONEL VIVIDA, XX DE XXXXXXXXXXX DE 2017</v>
      </c>
      <c r="AH31" s="117"/>
      <c r="AI31" s="67"/>
      <c r="AJ31" s="117"/>
      <c r="AK31" s="117"/>
      <c r="AL31" s="117"/>
      <c r="AM31" s="117"/>
      <c r="AN31" s="117"/>
      <c r="AO31" s="117"/>
      <c r="AP31" s="117"/>
      <c r="AQ31" s="67"/>
      <c r="AR31" s="67"/>
      <c r="AS31" s="67"/>
      <c r="AT31" s="67"/>
      <c r="AU31" s="67"/>
      <c r="AV31" s="67"/>
    </row>
    <row r="32" spans="1:50" s="66" customFormat="1" ht="11.25" x14ac:dyDescent="0.2">
      <c r="A32" s="65" t="s">
        <v>32</v>
      </c>
      <c r="B32" s="65"/>
      <c r="C32" s="65"/>
      <c r="D32" s="65" t="s">
        <v>33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 t="s">
        <v>32</v>
      </c>
      <c r="R32" s="65"/>
      <c r="S32" s="65"/>
      <c r="T32" s="65" t="s">
        <v>33</v>
      </c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 t="s">
        <v>32</v>
      </c>
      <c r="AH32" s="65"/>
      <c r="AI32" s="65"/>
      <c r="AJ32" s="65" t="s">
        <v>33</v>
      </c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</row>
    <row r="33" spans="1:48" s="66" customFormat="1" ht="19.5" customHeight="1" x14ac:dyDescent="0.2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</row>
    <row r="34" spans="1:48" ht="15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</row>
    <row r="35" spans="1:48" ht="15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</row>
    <row r="36" spans="1:48" ht="15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</row>
    <row r="37" spans="1:48" ht="15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</row>
    <row r="38" spans="1:48" ht="15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</row>
    <row r="39" spans="1:48" ht="15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</row>
    <row r="40" spans="1:48" ht="15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</row>
    <row r="41" spans="1:48" ht="15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</row>
    <row r="42" spans="1:48" ht="15" x14ac:dyDescent="0.25"/>
    <row r="43" spans="1:48" ht="15" x14ac:dyDescent="0.25"/>
  </sheetData>
  <sheetProtection password="EE6F" sheet="1" objects="1" scenarios="1" selectLockedCells="1"/>
  <mergeCells count="78">
    <mergeCell ref="A2:P2"/>
    <mergeCell ref="E25:F25"/>
    <mergeCell ref="G25:H25"/>
    <mergeCell ref="I25:J25"/>
    <mergeCell ref="K25:L25"/>
    <mergeCell ref="M25:N25"/>
    <mergeCell ref="O25:P25"/>
    <mergeCell ref="O26:P26"/>
    <mergeCell ref="M8:N8"/>
    <mergeCell ref="O8:P8"/>
    <mergeCell ref="K8:L8"/>
    <mergeCell ref="A8:A9"/>
    <mergeCell ref="E8:F8"/>
    <mergeCell ref="G8:H8"/>
    <mergeCell ref="I8:J8"/>
    <mergeCell ref="B8:B9"/>
    <mergeCell ref="C8:C9"/>
    <mergeCell ref="E26:F26"/>
    <mergeCell ref="G26:H26"/>
    <mergeCell ref="I26:J26"/>
    <mergeCell ref="K26:L26"/>
    <mergeCell ref="M26:N26"/>
    <mergeCell ref="U25:V25"/>
    <mergeCell ref="U26:V26"/>
    <mergeCell ref="W8:X8"/>
    <mergeCell ref="W25:X25"/>
    <mergeCell ref="W26:X26"/>
    <mergeCell ref="Y25:Z25"/>
    <mergeCell ref="Y26:Z26"/>
    <mergeCell ref="AA8:AB8"/>
    <mergeCell ref="AA25:AB25"/>
    <mergeCell ref="AA26:AB26"/>
    <mergeCell ref="AC25:AD25"/>
    <mergeCell ref="AC26:AD26"/>
    <mergeCell ref="AE8:AF8"/>
    <mergeCell ref="AE25:AF25"/>
    <mergeCell ref="AE26:AF26"/>
    <mergeCell ref="AO25:AP25"/>
    <mergeCell ref="AO26:AP26"/>
    <mergeCell ref="AQ25:AR25"/>
    <mergeCell ref="AQ26:AR26"/>
    <mergeCell ref="AK8:AL8"/>
    <mergeCell ref="AK25:AL25"/>
    <mergeCell ref="AK26:AL26"/>
    <mergeCell ref="AM8:AN8"/>
    <mergeCell ref="AM25:AN25"/>
    <mergeCell ref="AM26:AN26"/>
    <mergeCell ref="AS25:AT25"/>
    <mergeCell ref="AS26:AT26"/>
    <mergeCell ref="AU8:AV8"/>
    <mergeCell ref="AU25:AV25"/>
    <mergeCell ref="AU26:AV26"/>
    <mergeCell ref="Q2:AF2"/>
    <mergeCell ref="AG8:AG9"/>
    <mergeCell ref="AH8:AH9"/>
    <mergeCell ref="AI8:AI9"/>
    <mergeCell ref="AG2:AV2"/>
    <mergeCell ref="AO8:AP8"/>
    <mergeCell ref="AQ8:AR8"/>
    <mergeCell ref="AC8:AD8"/>
    <mergeCell ref="Y8:Z8"/>
    <mergeCell ref="U8:V8"/>
    <mergeCell ref="AJ31:AP31"/>
    <mergeCell ref="O3:P3"/>
    <mergeCell ref="AE3:AF3"/>
    <mergeCell ref="AU3:AV3"/>
    <mergeCell ref="A1:P1"/>
    <mergeCell ref="Q1:AF1"/>
    <mergeCell ref="AG1:AV1"/>
    <mergeCell ref="A31:B31"/>
    <mergeCell ref="D31:J31"/>
    <mergeCell ref="Q31:R31"/>
    <mergeCell ref="T31:Z31"/>
    <mergeCell ref="AG31:AH31"/>
    <mergeCell ref="AS8:AT8"/>
    <mergeCell ref="Q8:Q9"/>
    <mergeCell ref="R8:R9"/>
    <mergeCell ref="S8:S9"/>
  </mergeCells>
  <conditionalFormatting sqref="P19:Q23 AF10:AF23 P10:P18">
    <cfRule type="cellIs" dxfId="22" priority="48" stopIfTrue="1" operator="equal">
      <formula>N10+P10-100</formula>
    </cfRule>
  </conditionalFormatting>
  <conditionalFormatting sqref="N23">
    <cfRule type="cellIs" dxfId="21" priority="47" stopIfTrue="1" operator="equal">
      <formula>L23+N23-100</formula>
    </cfRule>
  </conditionalFormatting>
  <conditionalFormatting sqref="L23">
    <cfRule type="cellIs" dxfId="20" priority="46" stopIfTrue="1" operator="equal">
      <formula>J23+L23-100</formula>
    </cfRule>
  </conditionalFormatting>
  <conditionalFormatting sqref="J23">
    <cfRule type="cellIs" dxfId="19" priority="45" stopIfTrue="1" operator="equal">
      <formula>H23+J23-100</formula>
    </cfRule>
  </conditionalFormatting>
  <conditionalFormatting sqref="H23">
    <cfRule type="cellIs" dxfId="18" priority="44" stopIfTrue="1" operator="equal">
      <formula>F23+H23-100</formula>
    </cfRule>
  </conditionalFormatting>
  <conditionalFormatting sqref="N10:N22">
    <cfRule type="cellIs" dxfId="17" priority="42" stopIfTrue="1" operator="equal">
      <formula>L10+N10-100</formula>
    </cfRule>
  </conditionalFormatting>
  <conditionalFormatting sqref="L10:L22">
    <cfRule type="cellIs" dxfId="16" priority="41" stopIfTrue="1" operator="equal">
      <formula>J10+L10-100</formula>
    </cfRule>
  </conditionalFormatting>
  <conditionalFormatting sqref="J10:J22">
    <cfRule type="cellIs" dxfId="15" priority="40" stopIfTrue="1" operator="equal">
      <formula>H10+J10-100</formula>
    </cfRule>
  </conditionalFormatting>
  <conditionalFormatting sqref="H10:H22">
    <cfRule type="cellIs" dxfId="14" priority="39" stopIfTrue="1" operator="equal">
      <formula>F10+H10-100</formula>
    </cfRule>
  </conditionalFormatting>
  <conditionalFormatting sqref="F10:F23">
    <cfRule type="cellIs" dxfId="13" priority="38" stopIfTrue="1" operator="equal">
      <formula>D10+F10-100</formula>
    </cfRule>
  </conditionalFormatting>
  <conditionalFormatting sqref="F10:F23 H10:H23 J10:J23 L10:L23 N10:N23 P19:T23 P10:P18 R10:R18">
    <cfRule type="cellIs" dxfId="12" priority="37" operator="equal">
      <formula>0</formula>
    </cfRule>
  </conditionalFormatting>
  <conditionalFormatting sqref="AV10:AV23 AT10:AT23 AR10:AR23 AP10:AP23 AN10:AN23 AD10:AD23 AB10:AB23 Z10:Z23 X10:X23">
    <cfRule type="cellIs" dxfId="11" priority="7" stopIfTrue="1" operator="equal">
      <formula>V10+X10-100</formula>
    </cfRule>
  </conditionalFormatting>
  <conditionalFormatting sqref="AV10:AV23 AT10:AT23 AR10:AR23 AP10:AP23 AN10:AN23 AL10:AL23 AF10:AF23 AD10:AD23 AB10:AB23 Z10:Z23 X10:X23 V10:V23">
    <cfRule type="cellIs" dxfId="10" priority="6" operator="equal">
      <formula>0</formula>
    </cfRule>
  </conditionalFormatting>
  <conditionalFormatting sqref="V10:V23 AL10:AL23">
    <cfRule type="cellIs" dxfId="9" priority="49" stopIfTrue="1" operator="equal">
      <formula>P10+V10-100</formula>
    </cfRule>
  </conditionalFormatting>
  <conditionalFormatting sqref="T19:T23">
    <cfRule type="cellIs" dxfId="8" priority="51" stopIfTrue="1" operator="equal">
      <formula>O19+T19-100</formula>
    </cfRule>
  </conditionalFormatting>
  <conditionalFormatting sqref="S19:S23">
    <cfRule type="cellIs" dxfId="7" priority="53" stopIfTrue="1" operator="equal">
      <formula>O19+S19-100</formula>
    </cfRule>
  </conditionalFormatting>
  <conditionalFormatting sqref="Q23:T23 R10:R23">
    <cfRule type="cellIs" dxfId="6" priority="55" stopIfTrue="1" operator="equal">
      <formula>N10+Q10-100</formula>
    </cfRule>
  </conditionalFormatting>
  <conditionalFormatting sqref="AG19:AG23">
    <cfRule type="cellIs" dxfId="5" priority="2" stopIfTrue="1" operator="equal">
      <formula>AE19+AG19-100</formula>
    </cfRule>
  </conditionalFormatting>
  <conditionalFormatting sqref="AG19:AJ23 AH10:AH18">
    <cfRule type="cellIs" dxfId="4" priority="1" operator="equal">
      <formula>0</formula>
    </cfRule>
  </conditionalFormatting>
  <conditionalFormatting sqref="AJ19:AJ23">
    <cfRule type="cellIs" dxfId="3" priority="3" stopIfTrue="1" operator="equal">
      <formula>AE19+AJ19-100</formula>
    </cfRule>
  </conditionalFormatting>
  <conditionalFormatting sqref="AI19:AI23">
    <cfRule type="cellIs" dxfId="2" priority="4" stopIfTrue="1" operator="equal">
      <formula>AE19+AI19-100</formula>
    </cfRule>
  </conditionalFormatting>
  <conditionalFormatting sqref="AG23 AI23:AJ23 AH10:AH23">
    <cfRule type="cellIs" dxfId="1" priority="5" stopIfTrue="1" operator="equal">
      <formula>AD10+AG10-100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6" operator="containsText" id="{545466F1-51E7-4D0E-96E1-1A7BEA910F3D}">
            <xm:f>NOT(ISERROR(SEARCH($AX$15,AX10)))</xm:f>
            <xm:f>$AX$15</xm:f>
            <x14:dxf>
              <font>
                <b/>
                <i val="0"/>
                <color rgb="FFFF0000"/>
              </font>
            </x14:dxf>
          </x14:cfRule>
          <xm:sqref>AX10:AX23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topLeftCell="A13" workbookViewId="0">
      <selection activeCell="F51" sqref="F51"/>
    </sheetView>
  </sheetViews>
  <sheetFormatPr defaultRowHeight="15" x14ac:dyDescent="0.25"/>
  <cols>
    <col min="1" max="1" width="17.140625" customWidth="1"/>
    <col min="2" max="2" width="32" customWidth="1"/>
    <col min="3" max="3" width="15.140625" customWidth="1"/>
    <col min="4" max="4" width="15.28515625" customWidth="1"/>
    <col min="6" max="6" width="20.85546875" customWidth="1"/>
    <col min="7" max="9" width="16.7109375" customWidth="1"/>
  </cols>
  <sheetData>
    <row r="1" spans="1:9" x14ac:dyDescent="0.25">
      <c r="A1" s="69"/>
      <c r="B1" s="69"/>
      <c r="C1" s="69"/>
      <c r="D1" s="69"/>
      <c r="E1" s="70"/>
      <c r="F1" s="69"/>
      <c r="G1" s="69"/>
      <c r="H1" s="69"/>
      <c r="I1" s="69"/>
    </row>
    <row r="2" spans="1:9" x14ac:dyDescent="0.25">
      <c r="A2" s="69"/>
      <c r="B2" s="69"/>
      <c r="C2" s="69"/>
      <c r="D2" s="69"/>
      <c r="E2" s="70"/>
      <c r="F2" s="69"/>
      <c r="G2" s="69"/>
      <c r="H2" s="69"/>
      <c r="I2" s="69"/>
    </row>
    <row r="3" spans="1:9" x14ac:dyDescent="0.25">
      <c r="A3" s="69"/>
      <c r="B3" s="134"/>
      <c r="C3" s="134"/>
      <c r="D3" s="134"/>
      <c r="E3" s="134"/>
      <c r="F3" s="134"/>
      <c r="G3" s="134"/>
      <c r="H3" s="134"/>
      <c r="I3" s="69"/>
    </row>
    <row r="4" spans="1:9" x14ac:dyDescent="0.25">
      <c r="A4" s="69"/>
      <c r="B4" s="134"/>
      <c r="C4" s="134"/>
      <c r="D4" s="134"/>
      <c r="E4" s="134"/>
      <c r="F4" s="134"/>
      <c r="G4" s="134"/>
      <c r="H4" s="134"/>
      <c r="I4" s="69"/>
    </row>
    <row r="5" spans="1:9" x14ac:dyDescent="0.25">
      <c r="A5" s="69"/>
      <c r="B5" s="134"/>
      <c r="C5" s="134"/>
      <c r="D5" s="134"/>
      <c r="E5" s="134"/>
      <c r="F5" s="134"/>
      <c r="G5" s="134"/>
      <c r="H5" s="134"/>
      <c r="I5" s="69"/>
    </row>
    <row r="6" spans="1:9" x14ac:dyDescent="0.25">
      <c r="A6" s="69"/>
      <c r="B6" s="134"/>
      <c r="C6" s="134"/>
      <c r="D6" s="134"/>
      <c r="E6" s="134"/>
      <c r="F6" s="134"/>
      <c r="G6" s="134"/>
      <c r="H6" s="134"/>
      <c r="I6" s="69"/>
    </row>
    <row r="7" spans="1:9" x14ac:dyDescent="0.25">
      <c r="A7" s="69"/>
      <c r="B7" s="134"/>
      <c r="C7" s="134"/>
      <c r="D7" s="134"/>
      <c r="E7" s="134"/>
      <c r="F7" s="134"/>
      <c r="G7" s="134"/>
      <c r="H7" s="134"/>
      <c r="I7" s="69"/>
    </row>
    <row r="8" spans="1:9" x14ac:dyDescent="0.25">
      <c r="A8" s="69"/>
      <c r="B8" s="69"/>
      <c r="C8" s="69"/>
      <c r="D8" s="69"/>
      <c r="E8" s="70"/>
      <c r="F8" s="69"/>
      <c r="G8" s="69"/>
      <c r="H8" s="69"/>
      <c r="I8" s="69"/>
    </row>
    <row r="9" spans="1:9" ht="15.75" x14ac:dyDescent="0.25">
      <c r="A9" s="71" t="s">
        <v>99</v>
      </c>
      <c r="B9" s="69"/>
      <c r="C9" s="69"/>
      <c r="D9" s="69"/>
      <c r="E9" s="70"/>
      <c r="F9" s="69"/>
      <c r="G9" s="69"/>
      <c r="H9" s="135"/>
      <c r="I9" s="136"/>
    </row>
    <row r="10" spans="1:9" ht="15.75" thickBot="1" x14ac:dyDescent="0.3">
      <c r="A10" s="69"/>
      <c r="B10" s="69"/>
      <c r="C10" s="69"/>
      <c r="D10" s="69"/>
      <c r="E10" s="70"/>
      <c r="F10" s="69"/>
      <c r="G10" s="69"/>
      <c r="H10" s="69"/>
      <c r="I10" s="69"/>
    </row>
    <row r="11" spans="1:9" ht="15.75" thickBot="1" x14ac:dyDescent="0.3">
      <c r="A11" s="137" t="s">
        <v>100</v>
      </c>
      <c r="B11" s="138"/>
      <c r="C11" s="138"/>
      <c r="D11" s="138"/>
      <c r="E11" s="138"/>
      <c r="F11" s="138"/>
      <c r="G11" s="138"/>
      <c r="H11" s="139"/>
      <c r="I11" s="72">
        <v>966107.52</v>
      </c>
    </row>
    <row r="12" spans="1:9" ht="15.75" thickBot="1" x14ac:dyDescent="0.3">
      <c r="A12" s="140" t="s">
        <v>5</v>
      </c>
      <c r="B12" s="140" t="s">
        <v>101</v>
      </c>
      <c r="C12" s="140" t="s">
        <v>102</v>
      </c>
      <c r="D12" s="140" t="s">
        <v>103</v>
      </c>
      <c r="E12" s="141" t="s">
        <v>104</v>
      </c>
      <c r="F12" s="141" t="s">
        <v>105</v>
      </c>
      <c r="G12" s="140" t="s">
        <v>106</v>
      </c>
      <c r="H12" s="140"/>
      <c r="I12" s="140"/>
    </row>
    <row r="13" spans="1:9" ht="27" customHeight="1" thickBot="1" x14ac:dyDescent="0.3">
      <c r="A13" s="140"/>
      <c r="B13" s="140"/>
      <c r="C13" s="140"/>
      <c r="D13" s="140"/>
      <c r="E13" s="142"/>
      <c r="F13" s="142"/>
      <c r="G13" s="73" t="s">
        <v>107</v>
      </c>
      <c r="H13" s="73" t="s">
        <v>108</v>
      </c>
      <c r="I13" s="73" t="s">
        <v>109</v>
      </c>
    </row>
    <row r="14" spans="1:9" ht="15.75" thickBot="1" x14ac:dyDescent="0.3">
      <c r="A14" s="74">
        <v>1</v>
      </c>
      <c r="B14" s="75" t="s">
        <v>110</v>
      </c>
      <c r="C14" s="76">
        <f>D14*$I$11</f>
        <v>53135.9136</v>
      </c>
      <c r="D14" s="77">
        <v>5.5E-2</v>
      </c>
      <c r="E14" s="74"/>
      <c r="F14" s="74" t="str">
        <f>IF(AND(D14&gt;=G14,D14&lt;=I14),"OK","DIFERE")</f>
        <v>OK</v>
      </c>
      <c r="G14" s="78">
        <v>0.03</v>
      </c>
      <c r="H14" s="78">
        <v>0.04</v>
      </c>
      <c r="I14" s="78">
        <v>5.5E-2</v>
      </c>
    </row>
    <row r="15" spans="1:9" ht="15.75" thickBot="1" x14ac:dyDescent="0.3">
      <c r="A15" s="74">
        <v>2</v>
      </c>
      <c r="B15" s="75" t="s">
        <v>111</v>
      </c>
      <c r="C15" s="76">
        <f>D15*$I$11</f>
        <v>9661.0752000000011</v>
      </c>
      <c r="D15" s="79">
        <v>0.01</v>
      </c>
      <c r="E15" s="74"/>
      <c r="F15" s="74" t="str">
        <f>IF(AND(D15&gt;=G15,D15&lt;=I15),"OK","DIFERE")</f>
        <v>OK</v>
      </c>
      <c r="G15" s="78">
        <v>8.0000000000000002E-3</v>
      </c>
      <c r="H15" s="78">
        <v>8.0000000000000002E-3</v>
      </c>
      <c r="I15" s="78">
        <v>0.01</v>
      </c>
    </row>
    <row r="16" spans="1:9" ht="15.75" thickBot="1" x14ac:dyDescent="0.3">
      <c r="A16" s="74">
        <v>3</v>
      </c>
      <c r="B16" s="75" t="s">
        <v>112</v>
      </c>
      <c r="C16" s="76">
        <f>D16*$I$11</f>
        <v>12269.565504</v>
      </c>
      <c r="D16" s="79">
        <v>1.2699999999999999E-2</v>
      </c>
      <c r="E16" s="74"/>
      <c r="F16" s="74" t="str">
        <f>IF(AND(D16&gt;=G16,D16&lt;=I16),"OK","DIFERE")</f>
        <v>OK</v>
      </c>
      <c r="G16" s="78">
        <v>9.7000000000000003E-3</v>
      </c>
      <c r="H16" s="78">
        <v>1.2699999999999999E-2</v>
      </c>
      <c r="I16" s="78">
        <v>1.2699999999999999E-2</v>
      </c>
    </row>
    <row r="17" spans="1:9" ht="15.75" thickBot="1" x14ac:dyDescent="0.3">
      <c r="A17" s="74">
        <v>4</v>
      </c>
      <c r="B17" s="75" t="s">
        <v>113</v>
      </c>
      <c r="C17" s="76">
        <f>D17*($I$11+C14+C15+C16)</f>
        <v>14472.3196328256</v>
      </c>
      <c r="D17" s="79">
        <v>1.3899999999999999E-2</v>
      </c>
      <c r="E17" s="74"/>
      <c r="F17" s="74" t="str">
        <f>IF(AND(D17&gt;=G17,D17&lt;=I17),"OK","DIFERE")</f>
        <v>OK</v>
      </c>
      <c r="G17" s="78">
        <v>5.8999999999999999E-3</v>
      </c>
      <c r="H17" s="78">
        <v>1.23E-2</v>
      </c>
      <c r="I17" s="78">
        <v>1.3899999999999999E-2</v>
      </c>
    </row>
    <row r="18" spans="1:9" ht="15.75" thickBot="1" x14ac:dyDescent="0.3">
      <c r="A18" s="74">
        <v>5</v>
      </c>
      <c r="B18" s="75" t="s">
        <v>114</v>
      </c>
      <c r="C18" s="76">
        <f>D18*($I$11+C14+C15+C16+C17)</f>
        <v>81073.643054348198</v>
      </c>
      <c r="D18" s="79">
        <v>7.6799999999999993E-2</v>
      </c>
      <c r="E18" s="74"/>
      <c r="F18" s="74" t="str">
        <f>IF(AND(D18&gt;=G18,D18&lt;=I18),"OK","DIFERE")</f>
        <v>OK</v>
      </c>
      <c r="G18" s="78">
        <v>6.1600000000000002E-2</v>
      </c>
      <c r="H18" s="78">
        <v>7.3999999999999996E-2</v>
      </c>
      <c r="I18" s="78">
        <v>8.9599999999999999E-2</v>
      </c>
    </row>
    <row r="19" spans="1:9" ht="15.75" thickBot="1" x14ac:dyDescent="0.3">
      <c r="A19" s="74">
        <v>6</v>
      </c>
      <c r="B19" s="80" t="s">
        <v>115</v>
      </c>
      <c r="C19" s="81">
        <f>D19*$I$11*(1+D26)</f>
        <v>172111.32396584839</v>
      </c>
      <c r="D19" s="82">
        <f>SUM(D20:D23)</f>
        <v>0.13150000000000001</v>
      </c>
      <c r="E19" s="83"/>
      <c r="F19" s="69"/>
      <c r="G19" s="84"/>
      <c r="H19" s="84"/>
      <c r="I19" s="85"/>
    </row>
    <row r="20" spans="1:9" ht="15.75" thickBot="1" x14ac:dyDescent="0.3">
      <c r="A20" s="86" t="s">
        <v>46</v>
      </c>
      <c r="B20" s="128" t="s">
        <v>116</v>
      </c>
      <c r="C20" s="129"/>
      <c r="D20" s="79">
        <v>6.4999999999999997E-3</v>
      </c>
      <c r="E20" s="83"/>
      <c r="F20" s="69"/>
      <c r="G20" s="69"/>
      <c r="H20" s="69"/>
      <c r="I20" s="87"/>
    </row>
    <row r="21" spans="1:9" ht="15.75" thickBot="1" x14ac:dyDescent="0.3">
      <c r="A21" s="86" t="s">
        <v>47</v>
      </c>
      <c r="B21" s="128" t="s">
        <v>117</v>
      </c>
      <c r="C21" s="129"/>
      <c r="D21" s="79">
        <v>0.03</v>
      </c>
      <c r="E21" s="83"/>
      <c r="F21" s="69"/>
      <c r="G21" s="69"/>
      <c r="H21" s="69"/>
      <c r="I21" s="87"/>
    </row>
    <row r="22" spans="1:9" ht="15.75" thickBot="1" x14ac:dyDescent="0.3">
      <c r="A22" s="86" t="s">
        <v>118</v>
      </c>
      <c r="B22" s="128" t="s">
        <v>119</v>
      </c>
      <c r="C22" s="129"/>
      <c r="D22" s="79">
        <v>0.05</v>
      </c>
      <c r="E22" s="83"/>
      <c r="F22" s="69"/>
      <c r="G22" s="69"/>
      <c r="H22" s="69"/>
      <c r="I22" s="87"/>
    </row>
    <row r="23" spans="1:9" ht="15.75" thickBot="1" x14ac:dyDescent="0.3">
      <c r="A23" s="86" t="s">
        <v>120</v>
      </c>
      <c r="B23" s="128" t="s">
        <v>121</v>
      </c>
      <c r="C23" s="130"/>
      <c r="D23" s="88">
        <v>4.4999999999999998E-2</v>
      </c>
      <c r="E23" s="83"/>
      <c r="F23" s="69"/>
      <c r="G23" s="69"/>
      <c r="H23" s="69"/>
      <c r="I23" s="87"/>
    </row>
    <row r="24" spans="1:9" ht="15.75" thickBot="1" x14ac:dyDescent="0.3">
      <c r="A24" s="127" t="s">
        <v>122</v>
      </c>
      <c r="B24" s="127"/>
      <c r="C24" s="89">
        <f>SUM(C14:C19)</f>
        <v>342723.84095702216</v>
      </c>
      <c r="D24" s="74"/>
      <c r="E24" s="74"/>
      <c r="F24" s="131" t="s">
        <v>123</v>
      </c>
      <c r="G24" s="132"/>
      <c r="H24" s="132"/>
      <c r="I24" s="133"/>
    </row>
    <row r="25" spans="1:9" ht="15.75" thickBot="1" x14ac:dyDescent="0.3">
      <c r="A25" s="127" t="s">
        <v>124</v>
      </c>
      <c r="B25" s="127"/>
      <c r="C25" s="89">
        <f>C24+I11</f>
        <v>1308831.3609570223</v>
      </c>
      <c r="D25" s="74"/>
      <c r="E25" s="74"/>
      <c r="F25" s="90" t="s">
        <v>125</v>
      </c>
      <c r="G25" s="78">
        <v>0.2034</v>
      </c>
      <c r="H25" s="78">
        <v>0.22120000000000001</v>
      </c>
      <c r="I25" s="78">
        <v>0.25</v>
      </c>
    </row>
    <row r="26" spans="1:9" ht="15.75" thickBot="1" x14ac:dyDescent="0.3">
      <c r="A26" s="127" t="s">
        <v>126</v>
      </c>
      <c r="B26" s="127"/>
      <c r="C26" s="127"/>
      <c r="D26" s="79">
        <f>(((1+$D14+$D15+$D16)*(1+$D17)*(1+$D18)/(1-$D19)))-1</f>
        <v>0.35474709994703479</v>
      </c>
      <c r="E26" s="74" t="str">
        <f>IF(AND($D26&gt;=$G26,$D26&lt;=$I26),"OK","DIFERE")</f>
        <v>DIFERE</v>
      </c>
      <c r="F26" s="90" t="s">
        <v>127</v>
      </c>
      <c r="G26" s="78">
        <f>((G25+1))/(1-D23)-1</f>
        <v>0.2601047120418849</v>
      </c>
      <c r="H26" s="78">
        <f>((H25+1))/(1-D23)-1</f>
        <v>0.27874345549738222</v>
      </c>
      <c r="I26" s="78">
        <f>((I25+1))/(1-D23)-1</f>
        <v>0.30890052356020958</v>
      </c>
    </row>
    <row r="27" spans="1:9" ht="15.75" thickBot="1" x14ac:dyDescent="0.3">
      <c r="A27" s="91"/>
      <c r="B27" s="91"/>
      <c r="C27" s="91"/>
      <c r="D27" s="91"/>
      <c r="E27" s="92"/>
      <c r="F27" s="91"/>
      <c r="G27" s="91"/>
      <c r="H27" s="91"/>
      <c r="I27" s="91"/>
    </row>
    <row r="28" spans="1:9" x14ac:dyDescent="0.25">
      <c r="A28" s="91"/>
      <c r="B28" s="91"/>
      <c r="C28" s="91"/>
      <c r="D28" s="91"/>
      <c r="E28" s="92"/>
      <c r="F28" s="93" t="s">
        <v>128</v>
      </c>
      <c r="G28" s="94"/>
      <c r="H28" s="94"/>
      <c r="I28" s="95"/>
    </row>
    <row r="29" spans="1:9" x14ac:dyDescent="0.25">
      <c r="A29" s="91"/>
      <c r="B29" s="91"/>
      <c r="C29" s="91"/>
      <c r="D29" s="91"/>
      <c r="E29" s="92"/>
      <c r="F29" s="96"/>
      <c r="G29" s="69"/>
      <c r="H29" s="69"/>
      <c r="I29" s="87"/>
    </row>
    <row r="30" spans="1:9" x14ac:dyDescent="0.25">
      <c r="A30" s="91"/>
      <c r="B30" s="91"/>
      <c r="C30" s="91"/>
      <c r="D30" s="91"/>
      <c r="E30" s="92"/>
      <c r="F30" s="96"/>
      <c r="G30" s="69"/>
      <c r="H30" s="69"/>
      <c r="I30" s="87"/>
    </row>
    <row r="31" spans="1:9" x14ac:dyDescent="0.25">
      <c r="A31" s="91"/>
      <c r="B31" s="91"/>
      <c r="C31" s="91"/>
      <c r="D31" s="91"/>
      <c r="E31" s="92"/>
      <c r="F31" s="96"/>
      <c r="G31" s="69"/>
      <c r="H31" s="69"/>
      <c r="I31" s="87"/>
    </row>
    <row r="32" spans="1:9" x14ac:dyDescent="0.25">
      <c r="A32" s="91" t="s">
        <v>129</v>
      </c>
      <c r="B32" s="91"/>
      <c r="C32" s="91"/>
      <c r="D32" s="91"/>
      <c r="E32" s="92"/>
      <c r="F32" s="96"/>
      <c r="G32" s="69"/>
      <c r="H32" s="69"/>
      <c r="I32" s="87"/>
    </row>
    <row r="33" spans="1:9" x14ac:dyDescent="0.25">
      <c r="A33" s="91" t="s">
        <v>130</v>
      </c>
      <c r="B33" s="91"/>
      <c r="C33" s="91"/>
      <c r="D33" s="91"/>
      <c r="E33" s="92"/>
      <c r="F33" s="96"/>
      <c r="G33" s="69"/>
      <c r="H33" s="69"/>
      <c r="I33" s="87"/>
    </row>
    <row r="34" spans="1:9" x14ac:dyDescent="0.25">
      <c r="A34" s="91" t="s">
        <v>131</v>
      </c>
      <c r="B34" s="91"/>
      <c r="C34" s="91"/>
      <c r="D34" s="91"/>
      <c r="E34" s="92"/>
      <c r="F34" s="96"/>
      <c r="G34" s="69"/>
      <c r="H34" s="69"/>
      <c r="I34" s="87"/>
    </row>
    <row r="35" spans="1:9" ht="15.75" thickBot="1" x14ac:dyDescent="0.3">
      <c r="A35" s="91" t="s">
        <v>132</v>
      </c>
      <c r="B35" s="91"/>
      <c r="C35" s="91"/>
      <c r="D35" s="91"/>
      <c r="E35" s="92"/>
      <c r="F35" s="97"/>
      <c r="G35" s="98"/>
      <c r="H35" s="98"/>
      <c r="I35" s="99"/>
    </row>
    <row r="36" spans="1:9" x14ac:dyDescent="0.25">
      <c r="A36" s="91" t="s">
        <v>133</v>
      </c>
      <c r="B36" s="91"/>
      <c r="C36" s="91"/>
      <c r="D36" s="91"/>
      <c r="E36" s="92"/>
      <c r="F36" s="91"/>
      <c r="G36" s="91"/>
      <c r="H36" s="91"/>
      <c r="I36" s="91"/>
    </row>
    <row r="37" spans="1:9" x14ac:dyDescent="0.25">
      <c r="A37" s="91" t="s">
        <v>134</v>
      </c>
      <c r="B37" s="91"/>
      <c r="C37" s="91"/>
      <c r="D37" s="91"/>
      <c r="E37" s="92"/>
      <c r="F37" s="91"/>
      <c r="G37" s="91"/>
      <c r="H37" s="91"/>
      <c r="I37" s="91"/>
    </row>
    <row r="38" spans="1:9" x14ac:dyDescent="0.25">
      <c r="A38" s="91" t="s">
        <v>135</v>
      </c>
      <c r="B38" s="91"/>
      <c r="C38" s="91"/>
      <c r="D38" s="91"/>
      <c r="E38" s="92"/>
      <c r="F38" s="91"/>
      <c r="G38" s="91"/>
      <c r="H38" s="91"/>
      <c r="I38" s="91"/>
    </row>
    <row r="39" spans="1:9" x14ac:dyDescent="0.25">
      <c r="A39" s="91" t="s">
        <v>136</v>
      </c>
      <c r="B39" s="91"/>
      <c r="C39" s="91"/>
      <c r="D39" s="91"/>
      <c r="E39" s="92"/>
      <c r="F39" s="91"/>
      <c r="G39" s="91"/>
      <c r="H39" s="91"/>
      <c r="I39" s="91"/>
    </row>
    <row r="40" spans="1:9" x14ac:dyDescent="0.25">
      <c r="A40" s="91"/>
      <c r="B40" s="91"/>
      <c r="C40" s="91"/>
      <c r="D40" s="91"/>
      <c r="E40" s="92"/>
      <c r="F40" s="91"/>
      <c r="G40" s="91"/>
      <c r="H40" s="91"/>
      <c r="I40" s="91"/>
    </row>
    <row r="41" spans="1:9" ht="15.75" thickBot="1" x14ac:dyDescent="0.3">
      <c r="A41" s="91"/>
      <c r="B41" s="91"/>
      <c r="C41" s="91"/>
      <c r="D41" s="91"/>
      <c r="E41" s="92"/>
      <c r="F41" s="91"/>
      <c r="G41" s="91"/>
      <c r="H41" s="91"/>
      <c r="I41" s="91"/>
    </row>
    <row r="42" spans="1:9" ht="15.75" thickBot="1" x14ac:dyDescent="0.3">
      <c r="A42" s="91"/>
      <c r="B42" s="100" t="s">
        <v>137</v>
      </c>
      <c r="C42" s="101">
        <v>18</v>
      </c>
      <c r="D42" s="102" t="s">
        <v>138</v>
      </c>
      <c r="E42" s="92"/>
      <c r="F42" s="91"/>
      <c r="G42" s="91"/>
      <c r="H42" s="91"/>
      <c r="I42" s="91"/>
    </row>
    <row r="43" spans="1:9" x14ac:dyDescent="0.25">
      <c r="A43" s="91"/>
      <c r="B43" s="91"/>
      <c r="C43" s="91"/>
      <c r="D43" s="91"/>
      <c r="E43" s="92"/>
      <c r="F43" s="91"/>
      <c r="G43" s="91"/>
      <c r="H43" s="91"/>
      <c r="I43" s="91"/>
    </row>
  </sheetData>
  <mergeCells count="18">
    <mergeCell ref="F24:I24"/>
    <mergeCell ref="B3:H7"/>
    <mergeCell ref="H9:I9"/>
    <mergeCell ref="A11:H11"/>
    <mergeCell ref="A12:A13"/>
    <mergeCell ref="B12:B13"/>
    <mergeCell ref="C12:C13"/>
    <mergeCell ref="D12:D13"/>
    <mergeCell ref="E12:E13"/>
    <mergeCell ref="F12:F13"/>
    <mergeCell ref="G12:I12"/>
    <mergeCell ref="A25:B25"/>
    <mergeCell ref="A26:C26"/>
    <mergeCell ref="B20:C20"/>
    <mergeCell ref="B21:C21"/>
    <mergeCell ref="B22:C22"/>
    <mergeCell ref="B23:C23"/>
    <mergeCell ref="A24:B24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licitacao2</cp:lastModifiedBy>
  <cp:lastPrinted>2017-11-23T13:06:10Z</cp:lastPrinted>
  <dcterms:created xsi:type="dcterms:W3CDTF">2013-05-17T17:26:46Z</dcterms:created>
  <dcterms:modified xsi:type="dcterms:W3CDTF">2017-11-28T18:07:41Z</dcterms:modified>
</cp:coreProperties>
</file>