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6. LICITAÇÕES 2020\3. TOMADA DE PREÇOS\13. Tomada de Preços nº 13-2020 Reforma UBS Vista Alegre e Academia de Saúde\PROJETO EXECUTIVO\LOTE 01 - REFORMA UBS VISTA ALEGRE\"/>
    </mc:Choice>
  </mc:AlternateContent>
  <xr:revisionPtr revIDLastSave="0" documentId="13_ncr:1_{0122D76D-7A36-4A7F-91D1-2C378423941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ORÇAMENTO!$A$10:$G$63</definedName>
    <definedName name="_xlnm.Print_Area" localSheetId="2">BDI!$A$1:$E$46</definedName>
    <definedName name="_xlnm.Print_Area" localSheetId="0">ORÇAMENTO!$A$1:$G$110</definedName>
    <definedName name="Import.CR">[1]Dados!$G$8</definedName>
    <definedName name="Import.Município">[1]Dados!$G$7</definedName>
    <definedName name="Import.Proponente">[1]Dados!$G$6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TIPOORCAMENTO" hidden="1">IF(VALUE([2]MENU!$O$3)=2,"Licitado","Proposto")</definedName>
  </definedNames>
  <calcPr calcId="191029"/>
</workbook>
</file>

<file path=xl/calcChain.xml><?xml version="1.0" encoding="utf-8"?>
<calcChain xmlns="http://schemas.openxmlformats.org/spreadsheetml/2006/main">
  <c r="I81" i="1" l="1"/>
  <c r="F81" i="1" s="1"/>
  <c r="G81" i="1" s="1"/>
  <c r="H21" i="2" l="1"/>
  <c r="H20" i="2"/>
  <c r="H19" i="2"/>
  <c r="H18" i="2"/>
  <c r="H17" i="2"/>
  <c r="F18" i="2"/>
  <c r="F17" i="2"/>
  <c r="H16" i="2"/>
  <c r="F16" i="2"/>
  <c r="F15" i="2"/>
  <c r="B21" i="2"/>
  <c r="B20" i="2"/>
  <c r="B19" i="2"/>
  <c r="B18" i="2"/>
  <c r="B17" i="2"/>
  <c r="B16" i="2"/>
  <c r="B15" i="2"/>
  <c r="B14" i="2"/>
  <c r="B13" i="2"/>
  <c r="B12" i="2"/>
  <c r="B11" i="2"/>
  <c r="B10" i="2"/>
  <c r="I26" i="1" l="1"/>
  <c r="I27" i="1"/>
  <c r="I28" i="1"/>
  <c r="I30" i="1"/>
  <c r="I31" i="1"/>
  <c r="I32" i="1"/>
  <c r="I33" i="1"/>
  <c r="I35" i="1"/>
  <c r="F35" i="1" s="1"/>
  <c r="I36" i="1"/>
  <c r="F36" i="1" s="1"/>
  <c r="I37" i="1"/>
  <c r="I38" i="1"/>
  <c r="F38" i="1" s="1"/>
  <c r="G38" i="1" s="1"/>
  <c r="I39" i="1"/>
  <c r="F39" i="1" s="1"/>
  <c r="G39" i="1" s="1"/>
  <c r="I40" i="1"/>
  <c r="F40" i="1" s="1"/>
  <c r="I41" i="1"/>
  <c r="F41" i="1" s="1"/>
  <c r="I42" i="1"/>
  <c r="I43" i="1"/>
  <c r="F43" i="1" s="1"/>
  <c r="I44" i="1"/>
  <c r="F44" i="1" s="1"/>
  <c r="I45" i="1"/>
  <c r="F45" i="1" s="1"/>
  <c r="I46" i="1"/>
  <c r="F46" i="1" s="1"/>
  <c r="I48" i="1"/>
  <c r="F48" i="1" s="1"/>
  <c r="I49" i="1"/>
  <c r="F49" i="1" s="1"/>
  <c r="I50" i="1"/>
  <c r="I51" i="1"/>
  <c r="F51" i="1" s="1"/>
  <c r="G51" i="1" s="1"/>
  <c r="I52" i="1"/>
  <c r="F52" i="1" s="1"/>
  <c r="G52" i="1" s="1"/>
  <c r="I53" i="1"/>
  <c r="F53" i="1" s="1"/>
  <c r="G53" i="1" s="1"/>
  <c r="I54" i="1"/>
  <c r="F54" i="1" s="1"/>
  <c r="G54" i="1" s="1"/>
  <c r="I55" i="1"/>
  <c r="F55" i="1" s="1"/>
  <c r="G55" i="1" s="1"/>
  <c r="I57" i="1"/>
  <c r="F57" i="1" s="1"/>
  <c r="I58" i="1"/>
  <c r="F58" i="1" s="1"/>
  <c r="G58" i="1" s="1"/>
  <c r="I59" i="1"/>
  <c r="I60" i="1"/>
  <c r="F60" i="1" s="1"/>
  <c r="I62" i="1"/>
  <c r="F62" i="1" s="1"/>
  <c r="G62" i="1" s="1"/>
  <c r="I63" i="1"/>
  <c r="F63" i="1" s="1"/>
  <c r="G63" i="1" s="1"/>
  <c r="I64" i="1"/>
  <c r="F64" i="1" s="1"/>
  <c r="G64" i="1" s="1"/>
  <c r="I65" i="1"/>
  <c r="F65" i="1" s="1"/>
  <c r="G65" i="1" s="1"/>
  <c r="I66" i="1"/>
  <c r="F66" i="1" s="1"/>
  <c r="G66" i="1" s="1"/>
  <c r="I67" i="1"/>
  <c r="F67" i="1" s="1"/>
  <c r="G67" i="1" s="1"/>
  <c r="I68" i="1"/>
  <c r="I69" i="1"/>
  <c r="F69" i="1" s="1"/>
  <c r="G69" i="1" s="1"/>
  <c r="I71" i="1"/>
  <c r="F71" i="1" s="1"/>
  <c r="I72" i="1"/>
  <c r="F72" i="1" s="1"/>
  <c r="I73" i="1"/>
  <c r="F73" i="1" s="1"/>
  <c r="I74" i="1"/>
  <c r="F74" i="1" s="1"/>
  <c r="G74" i="1" s="1"/>
  <c r="I75" i="1"/>
  <c r="F75" i="1" s="1"/>
  <c r="G75" i="1" s="1"/>
  <c r="I76" i="1"/>
  <c r="F76" i="1" s="1"/>
  <c r="G76" i="1" s="1"/>
  <c r="I77" i="1"/>
  <c r="I78" i="1"/>
  <c r="F78" i="1" s="1"/>
  <c r="G78" i="1" s="1"/>
  <c r="I79" i="1"/>
  <c r="F79" i="1" s="1"/>
  <c r="G79" i="1" s="1"/>
  <c r="I80" i="1"/>
  <c r="F80" i="1" s="1"/>
  <c r="G80" i="1" s="1"/>
  <c r="I83" i="1"/>
  <c r="F83" i="1" s="1"/>
  <c r="G83" i="1" s="1"/>
  <c r="I84" i="1"/>
  <c r="F84" i="1" s="1"/>
  <c r="G84" i="1" s="1"/>
  <c r="I85" i="1"/>
  <c r="F85" i="1" s="1"/>
  <c r="G85" i="1" s="1"/>
  <c r="I86" i="1"/>
  <c r="F86" i="1" s="1"/>
  <c r="G86" i="1" s="1"/>
  <c r="I87" i="1"/>
  <c r="F87" i="1" s="1"/>
  <c r="G87" i="1" s="1"/>
  <c r="I89" i="1"/>
  <c r="F89" i="1" s="1"/>
  <c r="G89" i="1" s="1"/>
  <c r="I90" i="1"/>
  <c r="F90" i="1" s="1"/>
  <c r="G90" i="1" s="1"/>
  <c r="I91" i="1"/>
  <c r="F91" i="1" s="1"/>
  <c r="G91" i="1" s="1"/>
  <c r="I92" i="1"/>
  <c r="F92" i="1" s="1"/>
  <c r="G92" i="1" s="1"/>
  <c r="I93" i="1"/>
  <c r="F93" i="1" s="1"/>
  <c r="G93" i="1" s="1"/>
  <c r="I95" i="1"/>
  <c r="F95" i="1" s="1"/>
  <c r="G95" i="1" s="1"/>
  <c r="I96" i="1"/>
  <c r="F96" i="1" s="1"/>
  <c r="G96" i="1" s="1"/>
  <c r="I97" i="1"/>
  <c r="F97" i="1" s="1"/>
  <c r="G97" i="1" s="1"/>
  <c r="I98" i="1"/>
  <c r="F98" i="1" s="1"/>
  <c r="G98" i="1" s="1"/>
  <c r="I101" i="1"/>
  <c r="F101" i="1" s="1"/>
  <c r="G101" i="1" s="1"/>
  <c r="I102" i="1"/>
  <c r="F102" i="1" s="1"/>
  <c r="G102" i="1" s="1"/>
  <c r="I104" i="1"/>
  <c r="F104" i="1" s="1"/>
  <c r="G104" i="1" s="1"/>
  <c r="G103" i="1" s="1"/>
  <c r="I25" i="1"/>
  <c r="I18" i="1"/>
  <c r="I19" i="1"/>
  <c r="I20" i="1"/>
  <c r="I21" i="1"/>
  <c r="I22" i="1"/>
  <c r="I23" i="1"/>
  <c r="F37" i="1"/>
  <c r="F77" i="1"/>
  <c r="G77" i="1" s="1"/>
  <c r="F68" i="1"/>
  <c r="G68" i="1" s="1"/>
  <c r="F59" i="1"/>
  <c r="F50" i="1"/>
  <c r="G50" i="1" s="1"/>
  <c r="F42" i="1"/>
  <c r="G100" i="1" l="1"/>
  <c r="G99" i="1" s="1"/>
  <c r="C21" i="2" s="1"/>
  <c r="G88" i="1"/>
  <c r="C19" i="2" s="1"/>
  <c r="G94" i="1"/>
  <c r="C20" i="2" s="1"/>
  <c r="G82" i="1"/>
  <c r="C18" i="2" s="1"/>
  <c r="F32" i="1" l="1"/>
  <c r="F33" i="1"/>
  <c r="F30" i="1"/>
  <c r="G30" i="1" s="1"/>
  <c r="F31" i="1"/>
  <c r="F26" i="1"/>
  <c r="F27" i="1"/>
  <c r="G27" i="1" s="1"/>
  <c r="I13" i="1"/>
  <c r="I14" i="1" l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H15" i="2" l="1"/>
  <c r="G72" i="1"/>
  <c r="G73" i="1"/>
  <c r="G71" i="1"/>
  <c r="G70" i="1" l="1"/>
  <c r="C17" i="2" s="1"/>
  <c r="H14" i="2"/>
  <c r="H10" i="2"/>
  <c r="H12" i="2"/>
  <c r="H13" i="2"/>
  <c r="F25" i="1"/>
  <c r="G26" i="1"/>
  <c r="G31" i="1"/>
  <c r="G32" i="1"/>
  <c r="G33" i="1"/>
  <c r="G35" i="1"/>
  <c r="G36" i="1"/>
  <c r="G37" i="1"/>
  <c r="G40" i="1"/>
  <c r="G41" i="1"/>
  <c r="G42" i="1"/>
  <c r="G43" i="1"/>
  <c r="G44" i="1"/>
  <c r="G45" i="1"/>
  <c r="G46" i="1"/>
  <c r="G48" i="1"/>
  <c r="G49" i="1"/>
  <c r="G57" i="1"/>
  <c r="G59" i="1"/>
  <c r="G60" i="1"/>
  <c r="G47" i="1" l="1"/>
  <c r="C14" i="2" s="1"/>
  <c r="F28" i="1"/>
  <c r="G28" i="1" s="1"/>
  <c r="G29" i="1"/>
  <c r="C12" i="2" s="1"/>
  <c r="G25" i="1" l="1"/>
  <c r="G24" i="1" s="1"/>
  <c r="C11" i="2" s="1"/>
  <c r="G61" i="1" l="1"/>
  <c r="F13" i="1"/>
  <c r="G13" i="1" s="1"/>
  <c r="G56" i="1" l="1"/>
  <c r="C15" i="2" s="1"/>
  <c r="C16" i="2"/>
  <c r="C14" i="5"/>
  <c r="B14" i="5"/>
  <c r="E29" i="5"/>
  <c r="E28" i="5"/>
  <c r="C12" i="5"/>
  <c r="G34" i="1" l="1"/>
  <c r="C13" i="2" s="1"/>
  <c r="E31" i="5"/>
  <c r="A35" i="5" s="1"/>
  <c r="E30" i="5"/>
  <c r="J10" i="2" l="1"/>
  <c r="G12" i="1"/>
  <c r="G105" i="1" l="1"/>
  <c r="C10" i="2"/>
  <c r="C23" i="2" s="1"/>
  <c r="A5" i="2"/>
  <c r="D18" i="2" l="1"/>
  <c r="D21" i="2"/>
  <c r="D20" i="2"/>
  <c r="D19" i="2"/>
  <c r="D17" i="2"/>
  <c r="D14" i="2"/>
  <c r="D12" i="2"/>
  <c r="D11" i="2"/>
  <c r="D16" i="2"/>
  <c r="D15" i="2"/>
  <c r="D13" i="2"/>
  <c r="D10" i="2"/>
  <c r="D22" i="2" l="1"/>
  <c r="E22" i="2"/>
  <c r="G22" i="2"/>
  <c r="G23" i="2" s="1"/>
  <c r="A4" i="2"/>
  <c r="H22" i="2" l="1"/>
  <c r="E23" i="2"/>
  <c r="D23" i="2"/>
  <c r="F22" i="2" l="1"/>
  <c r="M10" i="1"/>
  <c r="E24" i="2" l="1"/>
  <c r="G2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A1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3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7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3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59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9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<sst xmlns="http://schemas.openxmlformats.org/spreadsheetml/2006/main" count="425" uniqueCount="342">
  <si>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</si>
  <si>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</si>
  <si>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</si>
  <si>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</si>
  <si>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</si>
  <si>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</si>
  <si>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</si>
  <si>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</si>
  <si>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</si>
  <si>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</si>
  <si>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</si>
  <si>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</si>
  <si>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</si>
  <si>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</si>
  <si>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</si>
  <si>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</si>
  <si>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</si>
  <si>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</si>
  <si>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</si>
  <si>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</si>
  <si>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</si>
  <si>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</si>
  <si>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</si>
  <si>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</si>
  <si>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</si>
  <si>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</si>
  <si>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</si>
  <si>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</si>
  <si>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</si>
  <si>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1.2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</si>
  <si>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</si>
  <si>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</si>
  <si>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</si>
  <si>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</si>
  <si>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</si>
  <si>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</si>
  <si>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</si>
  <si>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</si>
  <si>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</si>
  <si>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</si>
  <si>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</si>
  <si>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</si>
  <si>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</si>
  <si>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</si>
  <si>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</si>
  <si>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</si>
  <si>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</si>
  <si>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</si>
  <si>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</si>
  <si>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</si>
  <si>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</si>
  <si>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</si>
  <si>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</si>
  <si>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</si>
  <si>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</si>
  <si>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</si>
  <si>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</si>
  <si>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</si>
  <si>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</si>
  <si>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</si>
  <si>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</si>
  <si>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</si>
  <si>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</si>
  <si>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</si>
  <si>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</si>
  <si>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</si>
  <si>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</si>
  <si>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</si>
  <si>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</si>
  <si>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1.3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</si>
  <si>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</si>
  <si>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</si>
  <si>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</si>
  <si>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</si>
  <si>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</si>
  <si>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</si>
  <si>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</si>
  <si>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</si>
  <si>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</si>
  <si>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</si>
  <si>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</si>
  <si>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</si>
  <si>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</si>
  <si>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</si>
  <si>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</si>
  <si>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</si>
  <si>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CPF/CNPJ ou Crea:</t>
  </si>
  <si>
    <t>XX/XX/2019</t>
  </si>
  <si>
    <t>95626</t>
  </si>
  <si>
    <t>99861</t>
  </si>
  <si>
    <t>SERVIÇOS PRELIMINARES</t>
  </si>
  <si>
    <t>DEMOLIÇÃO DE ALVENARIA DE BLOCO FURADO, DE FORMA
MANUAL, SEM REAPROVEITAMENTO. AF_12/2017</t>
  </si>
  <si>
    <t xml:space="preserve">M3 </t>
  </si>
  <si>
    <t xml:space="preserve">2,57 </t>
  </si>
  <si>
    <t>ALVENARIA DE VEDAÇÃO DE BLOCOS CERÂMICOS FURADOS
NA VERTICAL DE 9X19X39CM (ESPESSURA 9CM) DE PAREDES
COM ÁREA LÍQUIDA MENOR QUE 6M² COM VÃOS E ARGAMASSA
DE ASSENTAMENTO COM PREPARO MANUAL. AF_06/2014</t>
  </si>
  <si>
    <t xml:space="preserve">M2 </t>
  </si>
  <si>
    <t xml:space="preserve">5,93 </t>
  </si>
  <si>
    <t>CHAPISCO APLICADO EM ALVENARIA (COM PRESENÇA DE
VÃOS) E ESTRUTURAS DE CONCRETO DE FACHADA, COM
COLHER DE PEDREIRO. ARGAMASSA TRAÇO 1:3 COM
PREPARO MANUAL. AF_06/2014</t>
  </si>
  <si>
    <t xml:space="preserve">11,86 </t>
  </si>
  <si>
    <t>(COMPOSIÇÃO REPRESENTATIVA) DO SERVIÇO DE
EMBOÇO/MASSA ÚNICA, APLICADO MANUALMENTE, TRAÇO
1:2:8, EM BETONEIRA DE 400L, PAREDES INTERNAS, COM
EXECUÇÃO DE TALISCAS, EDIFICAÇÃO HABITACIONAL
UNIFAMILIAR (CASAS) E EDIFICAÇÃO PÚBLICA PADRÃO.
AF_12/2014</t>
  </si>
  <si>
    <t>VERGA MOLDADA IN LOCO EM CONCRETO PARA PORTAS COM
ATÉ 1,5 M DE VÃO. AF_03/2016</t>
  </si>
  <si>
    <t xml:space="preserve">M </t>
  </si>
  <si>
    <t xml:space="preserve">2,5 </t>
  </si>
  <si>
    <t>DEMOLIÇÃO DE REVESTIMENTO CERÂMICO, DE FORMA
MANUAL, SEM REAPROVEITAMENTO. AF_12/2017</t>
  </si>
  <si>
    <t>DEMOLIÇÃO DE RODAPÉ CERÂMICO, DE FORMA MANUAL, SEM
REAPROVEITAMENTO. AF_12/2017</t>
  </si>
  <si>
    <t>REMOÇÃO DE LOUÇAS, DE FORMA MANUAL, SEM
REAPROVEITAMENTO. AF_12/2017</t>
  </si>
  <si>
    <t xml:space="preserve">UN </t>
  </si>
  <si>
    <t>REMOÇÃO DE ACESSÓRIOS, DE FORMA MANUAL, SEM
REAPROVEITAMENTO. AF_12/2017</t>
  </si>
  <si>
    <t>REMOÇÃO DE METAIS SANITÁRIOS, DE FORMA MANUAL, SEM
REAPROVEITAMENTO. AF_12/2017</t>
  </si>
  <si>
    <t>REMOÇÃO DE TUBULAÇÕES (TUBOS E CONEXÕES) DE ÁGUA
FRIA, DE FORMA MANUAL, SEM REAPROVEITAMENTO.
AF_12/2017</t>
  </si>
  <si>
    <t>TELHADO</t>
  </si>
  <si>
    <t>94229</t>
  </si>
  <si>
    <t>CALHA EM CHAPA DE AÇO GALVANIZADO NÚMERO 24, DESENVOLVIMENTO DE 100 CM, INCLUSO TRANSPORTE VERTICAL. AF_07/2019</t>
  </si>
  <si>
    <t>M</t>
  </si>
  <si>
    <t>1114</t>
  </si>
  <si>
    <t>RUFO INTERNO DE CHAPA DE ACO GALVANIZADA NUM 26, CORTE 50 CM</t>
  </si>
  <si>
    <t xml:space="preserve">M     </t>
  </si>
  <si>
    <t>92566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</si>
  <si>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</si>
  <si>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M2</t>
  </si>
  <si>
    <t>94207</t>
  </si>
  <si>
    <t>TELHAMENTO COM TELHA ONDULADA DE FIBROCIMENTO E = 6 MM, COM RECOBRIMENTO LATERAL DE 1/4 DE ONDA PARA TELHADO COM INCLINAÇÃO MAIOR QUE 10°, COM ATÉ 2 ÁGUAS, INCLUSO IÇAMENTO. AF_07/2019</t>
  </si>
  <si>
    <t>INSTALAÇÕES HIDRÁULICAS</t>
  </si>
  <si>
    <t>97663</t>
  </si>
  <si>
    <t>REMOÇÃO DE LOUÇAS, DE FORMA MANUAL, SEM REAPROVEITAMENTO. AF_12/2017</t>
  </si>
  <si>
    <t>UN</t>
  </si>
  <si>
    <t>90443</t>
  </si>
  <si>
    <t>RASGO EM ALVENARIA PARA RAMAIS/ DISTRIBUIÇÃO COM DIAMETROS MENORES OU IGUAIS A 40 MM. AF_05/2015</t>
  </si>
  <si>
    <t>91785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</si>
  <si>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</si>
  <si>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10422</t>
  </si>
  <si>
    <t>BACIA SANITARIA (VASO) COM CAIXA ACOPLADA, DE LOUCA BRANCA</t>
  </si>
  <si>
    <t xml:space="preserve">UN    </t>
  </si>
  <si>
    <t>1.4</t>
  </si>
  <si>
    <t>INSTALAÇÕES ELÉTRICAS</t>
  </si>
  <si>
    <t>97665</t>
  </si>
  <si>
    <t>REMOÇÃO DE LUMINÁRIAS, DE FORMA MANUAL, SEM REAPROVEITAMENTO. AF_12/2017</t>
  </si>
  <si>
    <t>008</t>
  </si>
  <si>
    <t>LUMINÁRIA TIPO PLAFON, DE SOBREPOR, 40x40 cm, 30 W -COM 1 LÂMPADA LED - FORNECIMENTO E INSTALAÇÃO. AF_11/2017</t>
  </si>
  <si>
    <t>91926</t>
  </si>
  <si>
    <t>CABO DE COBRE FLEXÍVEL ISOLADO, 2,5 MM², ANTI-CHAMA 450/750 V, PARA CIRCUITOS TERMINAIS - FORNECIMENTO E INSTALAÇÃO. AF_12/2015</t>
  </si>
  <si>
    <t>91997</t>
  </si>
  <si>
    <t>TOMADA MÉDIA DE EMBUTIR (1 MÓDULO), 2P+T 20 A, INCLUINDO SUPORTE E PLACA - FORNECIMENTO E INSTALAÇÃO. AF_12/2015</t>
  </si>
  <si>
    <t>92023</t>
  </si>
  <si>
    <t>INTERRUPTOR SIMPLES (1 MÓDULO) COM 1 TOMADA DE EMBUTIR 2P+T 10 A,  INCLUINDO SUPORTE E PLACA - FORNECIMENTO E INSTALAÇÃO. AF_12/2015</t>
  </si>
  <si>
    <t>91867</t>
  </si>
  <si>
    <t>ELETRODUTO RÍGIDO ROSCÁVEL, PVC, DN 25 MM (3/4"), PARA CIRCUITOS TERMINAIS, INSTALADO EM LAJE - FORNECIMENTO E INSTALAÇÃO. AF_12/2015</t>
  </si>
  <si>
    <t>91871</t>
  </si>
  <si>
    <t>ELETRODUTO RÍGIDO ROSCÁVEL, PVC, DN 25 MM (3/4"), PARA CIRCUITOS TERMINAIS, INSTALADO EM PAREDE - FORNECIMENTO E INSTALAÇÃO. AF_12/2015</t>
  </si>
  <si>
    <t>12016</t>
  </si>
  <si>
    <t>CONDULETE EM PVC, TIPO "LB", SEM TAMPA, DE 1/2" OU 3/4"</t>
  </si>
  <si>
    <t>2593</t>
  </si>
  <si>
    <t>CONDULETE DE ALUMINIO TIPO LR, PARA ELETRODUTO ROSCAVEL DE 3/4", COM TAMPA CEGA</t>
  </si>
  <si>
    <t>39334</t>
  </si>
  <si>
    <t>CONDULETE EM PVC, TIPO "E", SEM TAMPA, DE 3/4"</t>
  </si>
  <si>
    <t>39346</t>
  </si>
  <si>
    <t>TAMPA PARA CONDULETE, EM PVC, PARA 1 INTERRUPTOR</t>
  </si>
  <si>
    <t>39128</t>
  </si>
  <si>
    <t>ABRACADEIRA EM ACO PARA AMARRACAO DE ELETRODUTOS, TIPO D, COM 3/4" E CUNHA DE FIXACAO</t>
  </si>
  <si>
    <t>1.5</t>
  </si>
  <si>
    <t>ESQUADRIAS - PORTAS E JANELAS</t>
  </si>
  <si>
    <t>97645</t>
  </si>
  <si>
    <t>REMOÇÃO DE JANELAS, DE FORMA MANUAL, SEM REAPROVEITAMENTO. AF_12/2017</t>
  </si>
  <si>
    <t>93186</t>
  </si>
  <si>
    <t>VERGA MOLDADA IN LOCO EM CONCRETO PARA JANELAS COM ATÉ 1,5 M DE VÃO. AF_03/2016</t>
  </si>
  <si>
    <t>93196</t>
  </si>
  <si>
    <t>CONTRAVERGA MOLDADA IN LOCO EM CONCRETO PARA VÃOS DE ATÉ 1,5 M DE COMPRIMENTO. AF_03/2016</t>
  </si>
  <si>
    <t>93187</t>
  </si>
  <si>
    <t>VERGA MOLDADA IN LOCO EM CONCRETO PARA JANELAS COM MAIS DE 1,5 M DE VÃO. AF_03/2016</t>
  </si>
  <si>
    <t>93197</t>
  </si>
  <si>
    <t>CONTRAVERGA MOLDADA IN LOCO EM CONCRETO PARA VÃOS DE MAIS DE 1,5 M DE COMPRIMENTO. AF_03/2016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</si>
  <si>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</si>
  <si>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</si>
  <si>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34747</t>
  </si>
  <si>
    <t>PEITORIL EM MARMORE, POLIDO, BRANCO COMUM, L= *15* CM, E=  *2,0* CM, COM PINGADEIRA</t>
  </si>
  <si>
    <t>97644</t>
  </si>
  <si>
    <t>REMOÇÃO DE PORTAS, DE FORMA MANUAL, SEM REAPROVEITAMENTO. AF_12/2017</t>
  </si>
  <si>
    <t>1.6</t>
  </si>
  <si>
    <t>REVESTIMENTO CERAMICO -PISO E PAREDE</t>
  </si>
  <si>
    <t>87246</t>
  </si>
  <si>
    <t>REVESTIMENTO CERÂMICO PARA PISO COM PLACAS TIPO ESMALTADA EXTRA DE DIMENSÕES 35X35 CM APLICADA EM AMBIENTES DE ÁREA MENOR QUE 5 M2. AF_06/2014</t>
  </si>
  <si>
    <t>87247</t>
  </si>
  <si>
    <t>REVESTIMENTO CERÂMICO PARA PISO COM PLACAS TIPO ESMALTADA EXTRA DE DIMENSÕES 35X35 CM APLICADA EM AMBIENTES DE ÁREA ENTRE 5 M2 E 10 M2. AF_06/2014</t>
  </si>
  <si>
    <t>88648</t>
  </si>
  <si>
    <t>RODAPÉ CERÂMICO DE 7CM DE ALTURA COM PLACAS TIPO ESMALTADA EXTRA  DE DIMENSÕES 35X35CM. AF_06/2014</t>
  </si>
  <si>
    <t>87265</t>
  </si>
  <si>
    <t>REVESTIMENTO CERÂMICO PARA PAREDES INTERNAS COM PLACAS TIPO ESMALTADA EXTRA DE DIMENSÕES 20X20 CM APLICADAS EM AMBIENTES DE ÁREA MAIOR QUE 5 M² NA ALTURA INTEIRA DAS PAREDES. AF_06/2014</t>
  </si>
  <si>
    <t>1.7</t>
  </si>
  <si>
    <t>INFRAESTRUTURA - PAVER E CALÇADA</t>
  </si>
  <si>
    <t>97628</t>
  </si>
  <si>
    <t>DEMOLIÇÃO DE CALÇADA, DE FORMA MANUAL, SEM REAPROVEITAMENTO.</t>
  </si>
  <si>
    <t>M3</t>
  </si>
  <si>
    <t>100576</t>
  </si>
  <si>
    <t>REGULARIZAÇÃO E COMPACTAÇÃO DE SUBLEITO DE SOLO  PREDOMINANTEMENTE ARGILOSO. AF_11/2019</t>
  </si>
  <si>
    <t>96536</t>
  </si>
  <si>
    <t>FABRICAÇÃO, MONTAGEM E DESMONTAGEM DE FÔRMA PARA VIGA BALDRAME, EM MADEIRA SERRADA, E=25 MM, 4 UTILIZAÇÕES. AF_06/2017</t>
  </si>
  <si>
    <t>003</t>
  </si>
  <si>
    <t>VIGA DE CONTENÇÃO PISO INTERTRAVADO 10X15</t>
  </si>
  <si>
    <t>MLR</t>
  </si>
  <si>
    <t>92400</t>
  </si>
  <si>
    <t>EXECUÇÃO DE PÁTIO/ESTACIONAMENTO EM PISO INTERTRAVADO, COM BLOCO RETANGULAR COR NATURAL DE 20 X 10 CM, ESPESSURA 6 CM. AF_12/2015</t>
  </si>
  <si>
    <t>36178</t>
  </si>
  <si>
    <t>EXECUÇÃO DE PÁTIO/ESTACIONAMENTO EM PISO INTERTRAVADO, COM BLOCO RETANGULAR DE 20 X 10 CM, ESPESSURA 10 CM. AF_12/2015</t>
  </si>
  <si>
    <t>96622</t>
  </si>
  <si>
    <t>LASTRO COM MATERIAL GRANULAR, APLICAÇÃO EM PISOS OU RADIERS, ESPESSURA DE *5 CM*. AF_08/2017</t>
  </si>
  <si>
    <t>94992</t>
  </si>
  <si>
    <t>EXECUÇÃO DE PASSEIO (CALÇADA) OU PISO DE CONCRETO COM CONCRETO MOLDADO IN LOCO, FEITO EM OBRA, ACABAMENTO CONVENCIONAL, ESPESSURA 6 CM, ARMADO. AF_07/2016</t>
  </si>
  <si>
    <t>1.8</t>
  </si>
  <si>
    <t>INFRAESTRUTURA - ABRIGO DE GÁS</t>
  </si>
  <si>
    <t>94996</t>
  </si>
  <si>
    <t>EXECUÇÃO DE PASSEIO (CALÇADA) OU PISO DE CONCRETO COM CONCRETO MOLDADO IN LOCO, FEITO EM OBRA, ACABAMENTO CONVENCIONAL, ESPESSURA 10 CM, ARMADO. AF_07/2016</t>
  </si>
  <si>
    <t>GRADIL EM FERRO FIXADO EM VÃOS DE JANELAS, FORMADO POR BARRAS CHATAS DE 25X4,8 MM. AF_04/2019</t>
  </si>
  <si>
    <t>92271</t>
  </si>
  <si>
    <t>FABRICAÇÃO DE FÔRMA PARA LAJES, EM MADEIRA SERRADA, E=25 MM. AF_12/2015</t>
  </si>
  <si>
    <t>43127</t>
  </si>
  <si>
    <t>TELA DE ACO SOLDADA NERVURADA, CA-60, Q-283 (4,48 KG/M2), DIAMETRO DO FIO = 6,0 MM, LARGURA = 2,45 X 6,00 M DE COMPRIMENTO, ESPACAMENTO DA MALHA = 10 X 10 CM</t>
  </si>
  <si>
    <t xml:space="preserve">M2    </t>
  </si>
  <si>
    <t>92741</t>
  </si>
  <si>
    <t>CONCRETAGEM DE VIGAS E LAJES, FCK=20 MPA, PARA QUALQUER TIPO DE LAJE COM BALDES EM EDIFICAÇÃO TÉRREA, COM ÁREA MÉDIA DE LAJES MENOR OU IGUAL A 20 M² - LANÇAMENTO, ADENSAMENTO E ACABAMENTO. AF_12/2015</t>
  </si>
  <si>
    <t>4948</t>
  </si>
  <si>
    <t>PORTAO DE ABRIR EM GRADIL DE METALON REDONDO DE 3/4"  VERTICAL, COM REQUADRO, ACABAMENTO NATURAL - COMPLETO</t>
  </si>
  <si>
    <t>90437</t>
  </si>
  <si>
    <t>FURO EM ALVENARIA PARA DIÂMETROS MAIORES QUE 40 MM E MENORES OU IGUAIS A 75 MM. AF_05/2015</t>
  </si>
  <si>
    <t>1.9</t>
  </si>
  <si>
    <t>ACESSIBILIDADE</t>
  </si>
  <si>
    <t>99837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</si>
  <si>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</si>
  <si>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38181</t>
  </si>
  <si>
    <t>PISO TATIL ALERTA OU DIRECIONAL, DE BORRACHA, COLORIDO, 25 X 25 CM, E = 5 MM, PARA COLA</t>
  </si>
  <si>
    <t>101094</t>
  </si>
  <si>
    <t>PISO PODOTÁTIL, DIRECIONAL OU ALERTA, ASSENTADO SOBRE ARGAMASSA. AF_05/2020</t>
  </si>
  <si>
    <t>34723</t>
  </si>
  <si>
    <t>PLACA DE SINALIZACAO EM CHAPA DE ACO NUM 16 COM PINTURA REFLETIVA</t>
  </si>
  <si>
    <t>21013</t>
  </si>
  <si>
    <t>TUBO ACO GALVANIZADO COM COSTURA, CLASSE LEVE, DN 50 MM ( 2"),  E = 3,00 MM,  *4,40* KG/M (NBR 5580)</t>
  </si>
  <si>
    <t>INSTALAÇÃO DE PORTAS</t>
  </si>
  <si>
    <t>KIT DE PORTA-PRONTA DE MADEIRA EM ACABAMENTO MELAMÍNICO BRANCO, FOLHA PESADA OU SUPERPESADA, 80X210CM, EXCLUSIVE FECHADURA, FIXAÇÃO COM PREENCHIMENTO PARCIAL DE ESPUMA EXPANSIVA - FORNECIMENTO E INSTALAÇÃO. AF_12/2019</t>
  </si>
  <si>
    <t>FECHADURA DE EMBUTIR PARA PORTAS INTERNAS, COMPLETA, ACABAMENTO PADRÃO MÉDIO, COM EXECUÇÃO DE FURO - FORNECIMENTO E INSTALAÇÃO. AF_12/2019</t>
  </si>
  <si>
    <t>KIT DE PORTA-PRONTA DE MADEIRA EM ACABAMENTO MELAMÍNICO BRANCO, FOLHA LEVE OU MÉDIA, 70X210CM, EXCLUSIVE FECHADURA, FIXAÇÃO COM PREENCHIMENTO PARCIAL DE ESPUMA EXPANSIVA - FORNECIMENTO E INSTALAÇÃO. AF_12/2019</t>
  </si>
  <si>
    <t>PORTA DE MADEIRA, FOLHA MEDIA (NBR 15930) DE 100 X 210 CM, E = 35 MM, NUCLEO SARRAFEADO, CAPA LISA EM HDF, ACABAMENTO EM PRIMER PARA PINTURA - FORNECIMENTO E INSTALAÇÃO</t>
  </si>
  <si>
    <t>UND</t>
  </si>
  <si>
    <t>PORTA DE MADEIRA DE CORRER, DE 80 X 210 CM,  E=35MM</t>
  </si>
  <si>
    <t>1.10</t>
  </si>
  <si>
    <t>90791</t>
  </si>
  <si>
    <t>91306</t>
  </si>
  <si>
    <t>90789</t>
  </si>
  <si>
    <t>009</t>
  </si>
  <si>
    <t>5002</t>
  </si>
  <si>
    <t>1.11</t>
  </si>
  <si>
    <t>PINTURA INTERNA</t>
  </si>
  <si>
    <t>88495</t>
  </si>
  <si>
    <t>APLICAÇÃO E LIXAMENTO DE MASSA LÁTEX EM PAREDES, UMA DEMÃO. AF_06/2014</t>
  </si>
  <si>
    <t>88489</t>
  </si>
  <si>
    <t>APLICAÇÃO MANUAL DE PINTURA COM TINTA LÁTEX ACRÍLICA EM PAREDES, DUAS DEMÃOS. AF_06/2014</t>
  </si>
  <si>
    <t>88488</t>
  </si>
  <si>
    <t>APLICAÇÃO MANUAL DE PINTURA COM TINTA LÁTEX ACRÍLICA EM TETO, DUAS DEMÃOS. AF_06/2014</t>
  </si>
  <si>
    <t>73739/1</t>
  </si>
  <si>
    <t>PINTURA ESMALTE ACETINADO EM MADEIRA, DUAS DEMAOS</t>
  </si>
  <si>
    <t>PINTURA EXTERNA</t>
  </si>
  <si>
    <t>PINTURA DAS PAREDES</t>
  </si>
  <si>
    <t>95305</t>
  </si>
  <si>
    <t>TEXTURA ACRÍLICA, APLICAÇÃO MANUAL EM PAREDE, UMA DEMÃO. AF_09/2016</t>
  </si>
  <si>
    <t>APLICAÇÃO MANUAL DE TINTA LÁTEX ACRÍLICA EM PAREDE EXTERNAS DE CASAS, DUAS DEMÃOS. AF_11/2016</t>
  </si>
  <si>
    <t>PINTURA DA CALÇADA</t>
  </si>
  <si>
    <t>72815</t>
  </si>
  <si>
    <t>APLICACAO DE TINTA A BASE DE EPOXI SOBRE PISO</t>
  </si>
  <si>
    <t>OBJETO: REFORMA UBS VISTA ALEGRE</t>
  </si>
  <si>
    <t>LOCALIZAÇÃO: RUA BAHIA- VISTA ALEGRE</t>
  </si>
  <si>
    <t>REFORMA UBS VISTA ALEGRE</t>
  </si>
  <si>
    <t>1.1</t>
  </si>
  <si>
    <t>2.1</t>
  </si>
  <si>
    <t>2.3</t>
  </si>
  <si>
    <t>2.4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</si>
  <si>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</si>
  <si>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</si>
  <si>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</si>
  <si>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</si>
  <si>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</si>
  <si>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</si>
  <si>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</si>
  <si>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</si>
  <si>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</si>
  <si>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</si>
  <si>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</si>
  <si>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</si>
  <si>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</si>
  <si>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</si>
  <si>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</si>
  <si>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</si>
  <si>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</si>
  <si>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</si>
  <si>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</si>
  <si>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</si>
  <si>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</si>
  <si>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</si>
  <si>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</si>
  <si>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</si>
  <si>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</si>
  <si>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</si>
  <si>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</si>
  <si>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</si>
  <si>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</si>
  <si>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</si>
  <si>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</si>
  <si>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</si>
  <si>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</si>
  <si>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</si>
  <si>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</si>
  <si>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</si>
  <si>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</si>
  <si>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</si>
  <si>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</si>
  <si>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</si>
  <si>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</si>
  <si>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</si>
  <si>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</si>
  <si>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</si>
  <si>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</si>
  <si>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</si>
  <si>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</si>
  <si>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</si>
  <si>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</si>
  <si>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</si>
  <si>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</si>
  <si>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</si>
  <si>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</si>
  <si>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</si>
  <si>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</si>
  <si>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</si>
  <si>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11.1</t>
  </si>
  <si>
    <t>11.2</t>
  </si>
  <si>
    <t>11.3</t>
  </si>
  <si>
    <t>11.4</t>
  </si>
  <si>
    <t>12.1</t>
  </si>
  <si>
    <t>12.1.2</t>
  </si>
  <si>
    <t>12.1.3</t>
  </si>
  <si>
    <t>12.2</t>
  </si>
  <si>
    <t>12.2.1</t>
  </si>
  <si>
    <t>TUBO, PEX, MULTICAMADA, COM CONEXÕES, DN 16, INSTALADO EM RAMAL INTERNO DE INSTALAÇÕES DE GÁS - FORNECIMENTO E INSTALAÇÃO. AF_01/2020</t>
  </si>
  <si>
    <t>100803</t>
  </si>
  <si>
    <t>8.11</t>
  </si>
  <si>
    <t>ALVENARIA DE VEDAÇÃO DE BLOCOS VAZADOS DE CONCRETO DE 19X19X39CM (ESPESSURA 19CM) DE PAREDES COM ÁREA LÍQUIDA MENOR QUE 6M² COM VÃOS E ARGAMASSA DE ASSENTAMENTO COM PREPARO MANUAL. AF_06/2014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</si>
</sst>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3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  <font>
      <b/>
      <sz val="16"/>
      <color rgb="FFFF0000"/>
      <name val="Arial"/>
      <family val="2"/>
    </font>
    <font>
      <sz val="12"/>
      <color rgb="FFC0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rgb="FFC00000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rgb="FF000000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21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Fill="1" applyBorder="1" applyAlignment="1">
      <alignment horizontal="center" vertical="center"/>
    </xf>
    <xf numFmtId="10" fontId="25" fillId="0" borderId="46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3" xfId="0" applyNumberFormat="1" applyFont="1" applyFill="1" applyBorder="1" applyAlignment="1">
      <alignment horizontal="center" vertical="center"/>
    </xf>
    <xf numFmtId="10" fontId="25" fillId="0" borderId="56" xfId="0" applyNumberFormat="1" applyFont="1" applyFill="1" applyBorder="1" applyAlignment="1">
      <alignment horizontal="center" vertical="center"/>
    </xf>
    <xf numFmtId="10" fontId="25" fillId="0" borderId="60" xfId="0" applyNumberFormat="1" applyFont="1" applyFill="1" applyBorder="1" applyAlignment="1">
      <alignment horizontal="center" vertical="center"/>
    </xf>
    <xf numFmtId="10" fontId="15" fillId="6" borderId="0" xfId="1" applyNumberFormat="1" applyFont="1" applyFill="1" applyBorder="1" applyProtection="1">
      <protection locked="0"/>
    </xf>
    <xf numFmtId="10" fontId="15" fillId="0" borderId="0" xfId="1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justify" vertical="top" wrapText="1"/>
    </xf>
    <xf numFmtId="0" fontId="2" fillId="2" borderId="2" xfId="0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 applyProtection="1"/>
    <xf numFmtId="0" fontId="4" fillId="0" borderId="0" xfId="0" applyFont="1" applyAlignment="1">
      <alignment horizontal="center"/>
    </xf>
    <xf numFmtId="4" fontId="2" fillId="3" borderId="2" xfId="0" applyNumberFormat="1" applyFont="1" applyFill="1" applyBorder="1" applyAlignment="1" applyProtection="1">
      <protection locked="0"/>
    </xf>
    <xf numFmtId="164" fontId="27" fillId="3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/>
    </xf>
    <xf numFmtId="0" fontId="28" fillId="2" borderId="0" xfId="0" applyFont="1" applyFill="1" applyBorder="1" applyAlignment="1" applyProtection="1">
      <alignment horizontal="center" vertical="top" wrapText="1"/>
    </xf>
    <xf numFmtId="4" fontId="29" fillId="0" borderId="1" xfId="0" applyNumberFormat="1" applyFont="1" applyBorder="1" applyAlignment="1" applyProtection="1">
      <alignment horizontal="center"/>
    </xf>
    <xf numFmtId="4" fontId="29" fillId="0" borderId="0" xfId="0" applyNumberFormat="1" applyFont="1" applyBorder="1" applyAlignment="1" applyProtection="1">
      <alignment horizontal="center"/>
    </xf>
    <xf numFmtId="0" fontId="30" fillId="2" borderId="2" xfId="0" applyFont="1" applyFill="1" applyBorder="1" applyAlignment="1" applyProtection="1">
      <alignment horizontal="justify" vertical="top" wrapText="1"/>
    </xf>
    <xf numFmtId="0" fontId="30" fillId="2" borderId="2" xfId="0" applyFont="1" applyFill="1" applyBorder="1" applyAlignment="1" applyProtection="1">
      <alignment horizontal="center"/>
    </xf>
    <xf numFmtId="4" fontId="30" fillId="2" borderId="2" xfId="0" applyNumberFormat="1" applyFont="1" applyFill="1" applyBorder="1" applyAlignment="1" applyProtection="1"/>
    <xf numFmtId="0" fontId="31" fillId="0" borderId="0" xfId="0" applyFont="1" applyAlignment="1">
      <alignment horizontal="center"/>
    </xf>
    <xf numFmtId="4" fontId="30" fillId="3" borderId="2" xfId="0" applyNumberFormat="1" applyFont="1" applyFill="1" applyBorder="1" applyAlignment="1" applyProtection="1">
      <protection locked="0"/>
    </xf>
    <xf numFmtId="0" fontId="32" fillId="2" borderId="0" xfId="0" applyFont="1" applyFill="1" applyBorder="1" applyAlignment="1" applyProtection="1">
      <alignment horizontal="center" vertical="top" wrapText="1"/>
    </xf>
    <xf numFmtId="164" fontId="33" fillId="3" borderId="0" xfId="1" applyNumberFormat="1" applyFont="1" applyFill="1" applyBorder="1" applyAlignment="1" applyProtection="1">
      <alignment horizontal="center" vertical="center"/>
      <protection locked="0"/>
    </xf>
    <xf numFmtId="4" fontId="33" fillId="0" borderId="1" xfId="0" applyNumberFormat="1" applyFont="1" applyBorder="1" applyAlignment="1" applyProtection="1">
      <alignment horizontal="center"/>
    </xf>
    <xf numFmtId="4" fontId="33" fillId="0" borderId="0" xfId="0" applyNumberFormat="1" applyFont="1" applyBorder="1" applyAlignment="1" applyProtection="1">
      <alignment horizontal="center"/>
    </xf>
    <xf numFmtId="0" fontId="34" fillId="2" borderId="2" xfId="0" applyFont="1" applyFill="1" applyBorder="1" applyAlignment="1" applyProtection="1">
      <alignment horizontal="justify" vertical="top" wrapText="1"/>
    </xf>
    <xf numFmtId="0" fontId="34" fillId="2" borderId="2" xfId="0" applyFont="1" applyFill="1" applyBorder="1" applyAlignment="1" applyProtection="1">
      <alignment horizontal="center"/>
    </xf>
    <xf numFmtId="0" fontId="35" fillId="0" borderId="0" xfId="0" applyFont="1" applyAlignment="1">
      <alignment horizontal="center"/>
    </xf>
    <xf numFmtId="164" fontId="36" fillId="3" borderId="0" xfId="1" applyNumberFormat="1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justify" vertical="center" wrapText="1"/>
      <protection locked="0"/>
    </xf>
    <xf numFmtId="0" fontId="2" fillId="9" borderId="2" xfId="0" applyFont="1" applyFill="1" applyBorder="1" applyAlignment="1" applyProtection="1">
      <alignment horizontal="justify" vertical="top" wrapText="1"/>
    </xf>
    <xf numFmtId="0" fontId="2" fillId="9" borderId="2" xfId="0" applyFont="1" applyFill="1" applyBorder="1" applyAlignment="1" applyProtection="1">
      <alignment horizontal="center"/>
    </xf>
    <xf numFmtId="0" fontId="1" fillId="9" borderId="2" xfId="0" applyFont="1" applyFill="1" applyBorder="1" applyAlignment="1" applyProtection="1">
      <alignment horizontal="justify" vertical="top" wrapText="1"/>
    </xf>
    <xf numFmtId="0" fontId="1" fillId="9" borderId="2" xfId="0" applyFont="1" applyFill="1" applyBorder="1" applyAlignment="1" applyProtection="1">
      <alignment horizontal="center"/>
    </xf>
    <xf numFmtId="0" fontId="38" fillId="0" borderId="0" xfId="0" applyFont="1" applyAlignment="1">
      <alignment horizontal="center"/>
    </xf>
    <xf numFmtId="2" fontId="1" fillId="2" borderId="2" xfId="3" applyNumberFormat="1" applyFont="1" applyFill="1" applyBorder="1" applyAlignment="1" applyProtection="1">
      <alignment horizontal="center"/>
    </xf>
    <xf numFmtId="2" fontId="1" fillId="2" borderId="2" xfId="3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center"/>
    </xf>
    <xf numFmtId="4" fontId="1" fillId="4" borderId="0" xfId="0" applyNumberFormat="1" applyFont="1" applyFill="1" applyBorder="1" applyAlignment="1" applyProtection="1">
      <protection locked="0"/>
    </xf>
    <xf numFmtId="4" fontId="1" fillId="0" borderId="15" xfId="0" applyNumberFormat="1" applyFont="1" applyBorder="1" applyAlignment="1" applyProtection="1"/>
    <xf numFmtId="4" fontId="1" fillId="0" borderId="7" xfId="0" applyNumberFormat="1" applyFont="1" applyBorder="1" applyAlignment="1" applyProtection="1"/>
    <xf numFmtId="0" fontId="1" fillId="0" borderId="61" xfId="0" applyFont="1" applyFill="1" applyBorder="1" applyAlignment="1" applyProtection="1">
      <alignment horizontal="center" vertical="top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1" fillId="0" borderId="0" xfId="0" applyNumberFormat="1" applyFont="1" applyFill="1" applyBorder="1" applyAlignment="1" applyProtection="1">
      <alignment horizontal="center"/>
      <protection locked="0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23" xfId="0" applyNumberFormat="1" applyFont="1" applyFill="1" applyBorder="1" applyAlignment="1">
      <alignment horizontal="left" vertical="top" wrapText="1"/>
    </xf>
    <xf numFmtId="0" fontId="14" fillId="0" borderId="20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</cellXfs>
  <cellStyles count="4">
    <cellStyle name="Normal" xfId="0" builtinId="0"/>
    <cellStyle name="Normal 2" xfId="2" xr:uid="{00000000-0005-0000-0000-000001000000}"/>
    <cellStyle name="Porcentagem" xfId="1" builtinId="5"/>
    <cellStyle name="Vírgula" xfId="3" builtinId="3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rgb="FFCCFFFF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genharia2/Desktop/documentos%20pessoais/USB%20-%20Vista%20Alegre%20-%20reforma/Or&#231;amento/Or&#231;amento-reforma%20ubs%20vista%20alegre%20(v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EVENTOS"/>
      <sheetName val="ORÇAMENTO"/>
      <sheetName val="CÁLCULO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13"/>
  <sheetViews>
    <sheetView tabSelected="1" zoomScale="115" zoomScaleNormal="115" workbookViewId="0">
      <selection activeCell="K11" sqref="K11"/>
    </sheetView>
  </sheetViews>
  <sheetFormatPr defaultRowHeight="15" x14ac:dyDescent="0.25"/>
  <cols>
    <col min="1" max="1" width="6.7109375" customWidth="1"/>
    <col min="2" max="2" width="8.7109375" bestFit="1" customWidth="1"/>
    <col min="3" max="3" width="47.42578125" customWidth="1"/>
    <col min="4" max="4" width="4.85546875" bestFit="1" customWidth="1"/>
    <col min="5" max="5" width="7.85546875" bestFit="1" customWidth="1"/>
    <col min="6" max="6" width="10" bestFit="1" customWidth="1"/>
    <col min="7" max="7" width="12.7109375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K1" s="167" t="s">
        <v>21</v>
      </c>
    </row>
    <row r="2" spans="1:13" x14ac:dyDescent="0.25">
      <c r="A2" s="31"/>
      <c r="B2" s="31"/>
      <c r="C2" s="31"/>
      <c r="D2" s="31"/>
      <c r="E2" s="31"/>
      <c r="F2" s="31"/>
      <c r="G2" s="31"/>
      <c r="I2" s="170" t="s">
        <v>8</v>
      </c>
      <c r="K2" s="168"/>
    </row>
    <row r="3" spans="1:13" x14ac:dyDescent="0.25">
      <c r="A3" s="31"/>
      <c r="B3" s="31"/>
      <c r="C3" s="32"/>
      <c r="D3" s="31"/>
      <c r="E3" s="31"/>
      <c r="F3" s="31"/>
      <c r="G3" s="31"/>
      <c r="I3" s="171"/>
      <c r="K3" s="168"/>
    </row>
    <row r="4" spans="1:13" x14ac:dyDescent="0.25">
      <c r="A4" s="31"/>
      <c r="B4" s="31"/>
      <c r="C4" s="31"/>
      <c r="D4" s="31"/>
      <c r="E4" s="31"/>
      <c r="F4" s="31"/>
      <c r="G4" s="31"/>
      <c r="I4" s="171"/>
      <c r="K4" s="168"/>
    </row>
    <row r="5" spans="1:13" x14ac:dyDescent="0.25">
      <c r="A5" s="31"/>
      <c r="B5" s="31"/>
      <c r="C5" s="31"/>
      <c r="D5" s="31"/>
      <c r="E5" s="31"/>
      <c r="F5" s="31"/>
      <c r="G5" s="31"/>
      <c r="I5" s="171"/>
      <c r="K5" s="168"/>
    </row>
    <row r="6" spans="1:13" x14ac:dyDescent="0.25">
      <c r="A6" s="31"/>
      <c r="B6" s="31"/>
      <c r="C6" s="31"/>
      <c r="D6" s="31"/>
      <c r="E6" s="31"/>
      <c r="F6" s="31"/>
      <c r="G6" s="31"/>
      <c r="I6" s="172"/>
      <c r="K6" s="168"/>
    </row>
    <row r="7" spans="1:13" x14ac:dyDescent="0.25">
      <c r="A7" s="166" t="s">
        <v>266</v>
      </c>
      <c r="B7" s="166"/>
      <c r="C7" s="166"/>
      <c r="D7" s="166"/>
      <c r="E7" s="166"/>
      <c r="F7" s="166"/>
      <c r="G7" s="166"/>
      <c r="K7" s="168"/>
    </row>
    <row r="8" spans="1:13" x14ac:dyDescent="0.25">
      <c r="A8" s="173" t="s">
        <v>267</v>
      </c>
      <c r="B8" s="173"/>
      <c r="C8" s="173"/>
      <c r="D8" s="173"/>
      <c r="E8" s="173"/>
      <c r="F8" s="173"/>
      <c r="G8" s="173"/>
      <c r="K8" s="168"/>
      <c r="L8" s="9" t="s">
        <v>9</v>
      </c>
    </row>
    <row r="9" spans="1:13" x14ac:dyDescent="0.25">
      <c r="A9" s="174"/>
      <c r="B9" s="175"/>
      <c r="C9" s="175"/>
      <c r="D9" s="175"/>
      <c r="E9" s="175"/>
      <c r="F9" s="175"/>
      <c r="G9" s="176"/>
      <c r="K9" s="169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G105</f>
        <v>82001.819999999992</v>
      </c>
    </row>
    <row r="11" spans="1:13" s="142" customFormat="1" ht="12" x14ac:dyDescent="0.2">
      <c r="A11" s="139"/>
      <c r="B11" s="139"/>
      <c r="C11" s="139" t="s">
        <v>268</v>
      </c>
      <c r="D11" s="140"/>
      <c r="E11" s="141"/>
      <c r="F11" s="141"/>
      <c r="G11" s="141"/>
      <c r="I11" s="143"/>
      <c r="J11" s="144"/>
      <c r="K11" s="145"/>
      <c r="L11" s="146"/>
      <c r="M11" s="147"/>
    </row>
    <row r="12" spans="1:13" s="132" customFormat="1" ht="20.25" x14ac:dyDescent="0.25">
      <c r="A12" s="129">
        <v>1</v>
      </c>
      <c r="B12" s="129"/>
      <c r="C12" s="129" t="s">
        <v>90</v>
      </c>
      <c r="D12" s="130"/>
      <c r="E12" s="130"/>
      <c r="F12" s="131"/>
      <c r="G12" s="131">
        <f>SUM(G13:G23)</f>
        <v>2566.9299999999998</v>
      </c>
      <c r="I12" s="133"/>
      <c r="J12" s="106"/>
      <c r="K12" s="134"/>
      <c r="L12" s="9"/>
      <c r="M12" s="11"/>
    </row>
    <row r="13" spans="1:13" s="1" customFormat="1" ht="22.5" x14ac:dyDescent="0.25">
      <c r="A13" s="109" t="s">
        <v>269</v>
      </c>
      <c r="B13" s="109">
        <v>97622</v>
      </c>
      <c r="C13" s="109" t="s">
        <v>91</v>
      </c>
      <c r="D13" s="5" t="s">
        <v>92</v>
      </c>
      <c r="E13" s="158" t="s">
        <v>93</v>
      </c>
      <c r="F13" s="160">
        <f t="shared" ref="F13:F23" si="0">ROUND(I13,2)</f>
        <v>58.79</v>
      </c>
      <c r="G13" s="6">
        <f>ROUND(F13*E13,2)</f>
        <v>151.09</v>
      </c>
      <c r="I13" s="7">
        <f>ROUND(L13-(L13*$K$10),2)</f>
        <v>58.79</v>
      </c>
      <c r="J13" s="106"/>
      <c r="K13" s="107"/>
      <c r="L13" s="137">
        <v>58.79</v>
      </c>
      <c r="M13" s="11"/>
    </row>
    <row r="14" spans="1:13" s="135" customFormat="1" ht="56.25" x14ac:dyDescent="0.25">
      <c r="A14" s="109" t="s">
        <v>29</v>
      </c>
      <c r="B14" s="109">
        <v>87484</v>
      </c>
      <c r="C14" s="109" t="s">
        <v>94</v>
      </c>
      <c r="D14" s="5" t="s">
        <v>95</v>
      </c>
      <c r="E14" s="158" t="s">
        <v>96</v>
      </c>
      <c r="F14" s="158">
        <f t="shared" si="0"/>
        <v>58.32</v>
      </c>
      <c r="G14" s="6">
        <f t="shared" ref="G14:G23" si="1">ROUND(F14*E14,2)</f>
        <v>345.84</v>
      </c>
      <c r="I14" s="7">
        <f t="shared" ref="I14:I23" si="2">ROUND(L14-(L14*$K$10),2)</f>
        <v>58.32</v>
      </c>
      <c r="J14" s="136"/>
      <c r="K14" s="107"/>
      <c r="L14" s="137">
        <v>58.32</v>
      </c>
      <c r="M14" s="138"/>
    </row>
    <row r="15" spans="1:13" s="1" customFormat="1" ht="45" x14ac:dyDescent="0.25">
      <c r="A15" s="109" t="s">
        <v>69</v>
      </c>
      <c r="B15" s="109">
        <v>87904</v>
      </c>
      <c r="C15" s="109" t="s">
        <v>97</v>
      </c>
      <c r="D15" s="5" t="s">
        <v>95</v>
      </c>
      <c r="E15" s="158" t="s">
        <v>98</v>
      </c>
      <c r="F15" s="158">
        <f t="shared" si="0"/>
        <v>9.69</v>
      </c>
      <c r="G15" s="6">
        <f t="shared" si="1"/>
        <v>114.92</v>
      </c>
      <c r="I15" s="7">
        <f t="shared" si="2"/>
        <v>9.69</v>
      </c>
      <c r="J15" s="106"/>
      <c r="K15" s="107"/>
      <c r="L15" s="137">
        <v>9.69</v>
      </c>
      <c r="M15" s="11"/>
    </row>
    <row r="16" spans="1:13" s="1" customFormat="1" ht="67.5" x14ac:dyDescent="0.25">
      <c r="A16" s="109" t="s">
        <v>133</v>
      </c>
      <c r="B16" s="109">
        <v>89173</v>
      </c>
      <c r="C16" s="109" t="s">
        <v>99</v>
      </c>
      <c r="D16" s="5" t="s">
        <v>95</v>
      </c>
      <c r="E16" s="158" t="s">
        <v>98</v>
      </c>
      <c r="F16" s="158">
        <f t="shared" si="0"/>
        <v>31.93</v>
      </c>
      <c r="G16" s="6">
        <f t="shared" si="1"/>
        <v>378.69</v>
      </c>
      <c r="I16" s="7">
        <f t="shared" si="2"/>
        <v>31.93</v>
      </c>
      <c r="J16" s="106"/>
      <c r="K16" s="107"/>
      <c r="L16" s="137">
        <v>31.93</v>
      </c>
      <c r="M16" s="11"/>
    </row>
    <row r="17" spans="1:13" s="1" customFormat="1" ht="22.5" x14ac:dyDescent="0.25">
      <c r="A17" s="109" t="s">
        <v>159</v>
      </c>
      <c r="B17" s="109">
        <v>93188</v>
      </c>
      <c r="C17" s="109" t="s">
        <v>100</v>
      </c>
      <c r="D17" s="5" t="s">
        <v>101</v>
      </c>
      <c r="E17" s="158" t="s">
        <v>102</v>
      </c>
      <c r="F17" s="158">
        <f t="shared" si="0"/>
        <v>53.35</v>
      </c>
      <c r="G17" s="6">
        <f t="shared" si="1"/>
        <v>133.38</v>
      </c>
      <c r="I17" s="7">
        <f t="shared" si="2"/>
        <v>53.35</v>
      </c>
      <c r="J17" s="106"/>
      <c r="K17" s="107"/>
      <c r="L17" s="137">
        <v>53.35</v>
      </c>
      <c r="M17" s="11"/>
    </row>
    <row r="18" spans="1:13" s="1" customFormat="1" ht="22.5" x14ac:dyDescent="0.25">
      <c r="A18" s="109" t="s">
        <v>177</v>
      </c>
      <c r="B18" s="109">
        <v>97633</v>
      </c>
      <c r="C18" s="109" t="s">
        <v>103</v>
      </c>
      <c r="D18" s="5" t="s">
        <v>95</v>
      </c>
      <c r="E18" s="158">
        <v>56.21</v>
      </c>
      <c r="F18" s="158">
        <f t="shared" si="0"/>
        <v>23.53</v>
      </c>
      <c r="G18" s="6">
        <f t="shared" si="1"/>
        <v>1322.62</v>
      </c>
      <c r="I18" s="7">
        <f t="shared" si="2"/>
        <v>23.53</v>
      </c>
      <c r="J18" s="106"/>
      <c r="K18" s="107"/>
      <c r="L18" s="137">
        <v>23.53</v>
      </c>
      <c r="M18" s="11"/>
    </row>
    <row r="19" spans="1:13" s="1" customFormat="1" ht="22.5" x14ac:dyDescent="0.25">
      <c r="A19" s="109" t="s">
        <v>187</v>
      </c>
      <c r="B19" s="109">
        <v>97632</v>
      </c>
      <c r="C19" s="109" t="s">
        <v>104</v>
      </c>
      <c r="D19" s="5" t="s">
        <v>101</v>
      </c>
      <c r="E19" s="158">
        <v>26.51</v>
      </c>
      <c r="F19" s="158">
        <f t="shared" si="0"/>
        <v>2.69</v>
      </c>
      <c r="G19" s="6">
        <f t="shared" si="1"/>
        <v>71.31</v>
      </c>
      <c r="I19" s="7">
        <f t="shared" si="2"/>
        <v>2.69</v>
      </c>
      <c r="J19" s="106"/>
      <c r="K19" s="107"/>
      <c r="L19" s="137">
        <v>2.69</v>
      </c>
      <c r="M19" s="11"/>
    </row>
    <row r="20" spans="1:13" s="1" customFormat="1" ht="22.5" x14ac:dyDescent="0.25">
      <c r="A20" s="109" t="s">
        <v>207</v>
      </c>
      <c r="B20" s="109">
        <v>97663</v>
      </c>
      <c r="C20" s="109" t="s">
        <v>105</v>
      </c>
      <c r="D20" s="5" t="s">
        <v>106</v>
      </c>
      <c r="E20" s="159">
        <v>2</v>
      </c>
      <c r="F20" s="158">
        <f t="shared" si="0"/>
        <v>12.73</v>
      </c>
      <c r="G20" s="6">
        <f t="shared" si="1"/>
        <v>25.46</v>
      </c>
      <c r="I20" s="7">
        <f t="shared" si="2"/>
        <v>12.73</v>
      </c>
      <c r="J20" s="106"/>
      <c r="K20" s="107"/>
      <c r="L20" s="137">
        <v>12.73</v>
      </c>
      <c r="M20" s="11"/>
    </row>
    <row r="21" spans="1:13" s="1" customFormat="1" ht="22.5" x14ac:dyDescent="0.25">
      <c r="A21" s="109" t="s">
        <v>223</v>
      </c>
      <c r="B21" s="109">
        <v>97664</v>
      </c>
      <c r="C21" s="109" t="s">
        <v>107</v>
      </c>
      <c r="D21" s="5" t="s">
        <v>106</v>
      </c>
      <c r="E21" s="158">
        <v>2</v>
      </c>
      <c r="F21" s="158">
        <f t="shared" si="0"/>
        <v>1.57</v>
      </c>
      <c r="G21" s="6">
        <f t="shared" si="1"/>
        <v>3.14</v>
      </c>
      <c r="I21" s="7">
        <f t="shared" si="2"/>
        <v>1.57</v>
      </c>
      <c r="J21" s="106"/>
      <c r="K21" s="107"/>
      <c r="L21" s="137">
        <v>1.57</v>
      </c>
      <c r="M21" s="11"/>
    </row>
    <row r="22" spans="1:13" s="135" customFormat="1" ht="22.5" x14ac:dyDescent="0.25">
      <c r="A22" s="109" t="s">
        <v>242</v>
      </c>
      <c r="B22" s="109">
        <v>97666</v>
      </c>
      <c r="C22" s="109" t="s">
        <v>108</v>
      </c>
      <c r="D22" s="5" t="s">
        <v>106</v>
      </c>
      <c r="E22" s="158">
        <v>2</v>
      </c>
      <c r="F22" s="158">
        <f t="shared" si="0"/>
        <v>9.27</v>
      </c>
      <c r="G22" s="6">
        <f t="shared" si="1"/>
        <v>18.54</v>
      </c>
      <c r="I22" s="7">
        <f t="shared" si="2"/>
        <v>9.27</v>
      </c>
      <c r="J22" s="136"/>
      <c r="K22" s="107"/>
      <c r="L22" s="137">
        <v>9.27</v>
      </c>
      <c r="M22" s="138"/>
    </row>
    <row r="23" spans="1:13" s="135" customFormat="1" ht="33.75" x14ac:dyDescent="0.25">
      <c r="A23" s="109" t="s">
        <v>248</v>
      </c>
      <c r="B23" s="109">
        <v>97662</v>
      </c>
      <c r="C23" s="109" t="s">
        <v>109</v>
      </c>
      <c r="D23" s="5" t="s">
        <v>101</v>
      </c>
      <c r="E23" s="158">
        <v>3.8</v>
      </c>
      <c r="F23" s="158">
        <f t="shared" si="0"/>
        <v>0.51</v>
      </c>
      <c r="G23" s="6">
        <f t="shared" si="1"/>
        <v>1.94</v>
      </c>
      <c r="I23" s="7">
        <f t="shared" si="2"/>
        <v>0.51</v>
      </c>
      <c r="J23" s="136"/>
      <c r="K23" s="107"/>
      <c r="L23" s="137">
        <v>0.51</v>
      </c>
      <c r="M23" s="138"/>
    </row>
    <row r="24" spans="1:13" s="132" customFormat="1" ht="20.25" x14ac:dyDescent="0.25">
      <c r="A24" s="129">
        <v>2</v>
      </c>
      <c r="B24" s="129"/>
      <c r="C24" s="129" t="s">
        <v>110</v>
      </c>
      <c r="D24" s="130"/>
      <c r="E24" s="158"/>
      <c r="F24" s="158"/>
      <c r="G24" s="141">
        <f>SUM(G25:G28)</f>
        <v>5215.4799999999996</v>
      </c>
      <c r="I24" s="7"/>
      <c r="J24" s="106"/>
      <c r="K24" s="134"/>
      <c r="L24" s="137"/>
      <c r="M24" s="11"/>
    </row>
    <row r="25" spans="1:13" s="135" customFormat="1" ht="33.75" x14ac:dyDescent="0.25">
      <c r="A25" s="109" t="s">
        <v>270</v>
      </c>
      <c r="B25" s="109" t="s">
        <v>111</v>
      </c>
      <c r="C25" s="109" t="s">
        <v>112</v>
      </c>
      <c r="D25" s="5" t="s">
        <v>113</v>
      </c>
      <c r="E25" s="158">
        <v>6.29</v>
      </c>
      <c r="F25" s="158">
        <f t="shared" ref="F25:F90" si="3">ROUND(I25,2)</f>
        <v>140.69999999999999</v>
      </c>
      <c r="G25" s="6">
        <f>ROUND(F25*E25,2)</f>
        <v>885</v>
      </c>
      <c r="I25" s="7">
        <f>ROUND(L25-(L25*$K$10),2)</f>
        <v>140.69999999999999</v>
      </c>
      <c r="J25" s="136"/>
      <c r="K25" s="107"/>
      <c r="L25" s="137">
        <v>140.69999999999999</v>
      </c>
      <c r="M25" s="138"/>
    </row>
    <row r="26" spans="1:13" s="135" customFormat="1" ht="22.5" x14ac:dyDescent="0.25">
      <c r="A26" s="109" t="s">
        <v>270</v>
      </c>
      <c r="B26" s="109" t="s">
        <v>114</v>
      </c>
      <c r="C26" s="109" t="s">
        <v>115</v>
      </c>
      <c r="D26" s="5" t="s">
        <v>116</v>
      </c>
      <c r="E26" s="158">
        <v>45.39</v>
      </c>
      <c r="F26" s="158">
        <f t="shared" si="3"/>
        <v>27.73</v>
      </c>
      <c r="G26" s="6">
        <f t="shared" ref="G26:G69" si="4">ROUND(F26*E26,2)</f>
        <v>1258.6600000000001</v>
      </c>
      <c r="I26" s="7">
        <f t="shared" ref="I26:I89" si="5">ROUND(L26-(L26*$K$10),2)</f>
        <v>27.73</v>
      </c>
      <c r="J26" s="136"/>
      <c r="K26" s="107"/>
      <c r="L26" s="137">
        <v>27.73</v>
      </c>
      <c r="M26" s="138"/>
    </row>
    <row r="27" spans="1:13" s="132" customFormat="1" ht="56.25" x14ac:dyDescent="0.25">
      <c r="A27" s="109" t="s">
        <v>271</v>
      </c>
      <c r="B27" s="109" t="s">
        <v>117</v>
      </c>
      <c r="C27" s="109" t="s">
        <v>118</v>
      </c>
      <c r="D27" s="5" t="s">
        <v>119</v>
      </c>
      <c r="E27" s="158">
        <v>50.3</v>
      </c>
      <c r="F27" s="158">
        <f t="shared" si="3"/>
        <v>19.57</v>
      </c>
      <c r="G27" s="6">
        <f t="shared" si="4"/>
        <v>984.37</v>
      </c>
      <c r="I27" s="7">
        <f t="shared" si="5"/>
        <v>19.57</v>
      </c>
      <c r="J27" s="106"/>
      <c r="K27" s="134"/>
      <c r="L27" s="137">
        <v>19.57</v>
      </c>
      <c r="M27" s="11"/>
    </row>
    <row r="28" spans="1:13" s="135" customFormat="1" ht="45" x14ac:dyDescent="0.25">
      <c r="A28" s="109" t="s">
        <v>272</v>
      </c>
      <c r="B28" s="109" t="s">
        <v>120</v>
      </c>
      <c r="C28" s="109" t="s">
        <v>121</v>
      </c>
      <c r="D28" s="5" t="s">
        <v>119</v>
      </c>
      <c r="E28" s="158">
        <v>50.3</v>
      </c>
      <c r="F28" s="158">
        <f t="shared" si="3"/>
        <v>41.5</v>
      </c>
      <c r="G28" s="6">
        <f t="shared" si="4"/>
        <v>2087.4499999999998</v>
      </c>
      <c r="I28" s="7">
        <f t="shared" si="5"/>
        <v>41.5</v>
      </c>
      <c r="J28" s="136"/>
      <c r="K28" s="107"/>
      <c r="L28" s="137">
        <v>41.5</v>
      </c>
      <c r="M28" s="138"/>
    </row>
    <row r="29" spans="1:13" s="142" customFormat="1" ht="12.75" x14ac:dyDescent="0.2">
      <c r="A29" s="129">
        <v>3</v>
      </c>
      <c r="B29" s="109"/>
      <c r="C29" s="152" t="s">
        <v>122</v>
      </c>
      <c r="D29" s="5"/>
      <c r="E29" s="158"/>
      <c r="F29" s="158"/>
      <c r="G29" s="141">
        <f>SUM(G30:G33)</f>
        <v>1080.99</v>
      </c>
      <c r="I29" s="7"/>
      <c r="J29" s="144"/>
      <c r="K29" s="145"/>
      <c r="L29" s="137"/>
      <c r="M29" s="147"/>
    </row>
    <row r="30" spans="1:13" s="132" customFormat="1" ht="22.5" x14ac:dyDescent="0.25">
      <c r="A30" s="109" t="s">
        <v>273</v>
      </c>
      <c r="B30" s="109" t="s">
        <v>123</v>
      </c>
      <c r="C30" s="109" t="s">
        <v>124</v>
      </c>
      <c r="D30" s="5" t="s">
        <v>125</v>
      </c>
      <c r="E30" s="158">
        <v>2</v>
      </c>
      <c r="F30" s="158">
        <f t="shared" si="3"/>
        <v>12.73</v>
      </c>
      <c r="G30" s="6">
        <f t="shared" si="4"/>
        <v>25.46</v>
      </c>
      <c r="I30" s="7">
        <f t="shared" si="5"/>
        <v>12.73</v>
      </c>
      <c r="J30" s="106"/>
      <c r="K30" s="134"/>
      <c r="L30" s="137">
        <v>12.73</v>
      </c>
      <c r="M30" s="11"/>
    </row>
    <row r="31" spans="1:13" s="135" customFormat="1" ht="22.5" x14ac:dyDescent="0.25">
      <c r="A31" s="109" t="s">
        <v>274</v>
      </c>
      <c r="B31" s="109" t="s">
        <v>126</v>
      </c>
      <c r="C31" s="109" t="s">
        <v>127</v>
      </c>
      <c r="D31" s="5" t="s">
        <v>113</v>
      </c>
      <c r="E31" s="158">
        <v>2.4</v>
      </c>
      <c r="F31" s="158">
        <f t="shared" si="3"/>
        <v>14.29</v>
      </c>
      <c r="G31" s="6">
        <f t="shared" si="4"/>
        <v>34.299999999999997</v>
      </c>
      <c r="I31" s="7">
        <f t="shared" si="5"/>
        <v>14.29</v>
      </c>
      <c r="J31" s="136"/>
      <c r="K31" s="107"/>
      <c r="L31" s="137">
        <v>14.29</v>
      </c>
      <c r="M31" s="138"/>
    </row>
    <row r="32" spans="1:13" s="135" customFormat="1" ht="56.25" x14ac:dyDescent="0.25">
      <c r="A32" s="109" t="s">
        <v>275</v>
      </c>
      <c r="B32" s="109" t="s">
        <v>128</v>
      </c>
      <c r="C32" s="109" t="s">
        <v>129</v>
      </c>
      <c r="D32" s="5" t="s">
        <v>113</v>
      </c>
      <c r="E32" s="158">
        <v>2.4</v>
      </c>
      <c r="F32" s="158">
        <f t="shared" si="3"/>
        <v>44.23</v>
      </c>
      <c r="G32" s="6">
        <f t="shared" si="4"/>
        <v>106.15</v>
      </c>
      <c r="I32" s="7">
        <f t="shared" si="5"/>
        <v>44.23</v>
      </c>
      <c r="J32" s="136"/>
      <c r="K32" s="107"/>
      <c r="L32" s="137">
        <v>44.23</v>
      </c>
      <c r="M32" s="138"/>
    </row>
    <row r="33" spans="1:13" s="135" customFormat="1" ht="22.5" x14ac:dyDescent="0.25">
      <c r="A33" s="109" t="s">
        <v>276</v>
      </c>
      <c r="B33" s="109" t="s">
        <v>130</v>
      </c>
      <c r="C33" s="109" t="s">
        <v>131</v>
      </c>
      <c r="D33" s="5" t="s">
        <v>132</v>
      </c>
      <c r="E33" s="158">
        <v>2</v>
      </c>
      <c r="F33" s="158">
        <f t="shared" si="3"/>
        <v>457.54</v>
      </c>
      <c r="G33" s="6">
        <f t="shared" si="4"/>
        <v>915.08</v>
      </c>
      <c r="I33" s="7">
        <f t="shared" si="5"/>
        <v>457.54</v>
      </c>
      <c r="J33" s="136"/>
      <c r="K33" s="107"/>
      <c r="L33" s="137">
        <v>457.54</v>
      </c>
      <c r="M33" s="138"/>
    </row>
    <row r="34" spans="1:13" s="132" customFormat="1" ht="20.25" x14ac:dyDescent="0.25">
      <c r="A34" s="129">
        <v>4</v>
      </c>
      <c r="B34" s="129"/>
      <c r="C34" s="129" t="s">
        <v>134</v>
      </c>
      <c r="D34" s="130"/>
      <c r="E34" s="158"/>
      <c r="F34" s="158"/>
      <c r="G34" s="131">
        <f>SUM(G35:G46)</f>
        <v>7795.86</v>
      </c>
      <c r="I34" s="7"/>
      <c r="J34" s="106"/>
      <c r="K34" s="134"/>
      <c r="L34" s="137"/>
      <c r="M34" s="11"/>
    </row>
    <row r="35" spans="1:13" s="135" customFormat="1" ht="22.5" x14ac:dyDescent="0.25">
      <c r="A35" s="109" t="s">
        <v>277</v>
      </c>
      <c r="B35" s="109" t="s">
        <v>135</v>
      </c>
      <c r="C35" s="109" t="s">
        <v>136</v>
      </c>
      <c r="D35" s="5" t="s">
        <v>125</v>
      </c>
      <c r="E35" s="158">
        <v>27</v>
      </c>
      <c r="F35" s="158">
        <f t="shared" si="3"/>
        <v>1.34</v>
      </c>
      <c r="G35" s="6">
        <f t="shared" si="4"/>
        <v>36.18</v>
      </c>
      <c r="I35" s="7">
        <f t="shared" si="5"/>
        <v>1.34</v>
      </c>
      <c r="J35" s="136"/>
      <c r="K35" s="107"/>
      <c r="L35" s="137">
        <v>1.34</v>
      </c>
      <c r="M35" s="138"/>
    </row>
    <row r="36" spans="1:13" s="135" customFormat="1" ht="22.5" x14ac:dyDescent="0.25">
      <c r="A36" s="109" t="s">
        <v>278</v>
      </c>
      <c r="B36" s="109" t="s">
        <v>137</v>
      </c>
      <c r="C36" s="109" t="s">
        <v>138</v>
      </c>
      <c r="D36" s="5">
        <v>0</v>
      </c>
      <c r="E36" s="158">
        <v>27</v>
      </c>
      <c r="F36" s="158">
        <f t="shared" si="3"/>
        <v>218.66</v>
      </c>
      <c r="G36" s="6">
        <f t="shared" si="4"/>
        <v>5903.82</v>
      </c>
      <c r="I36" s="7">
        <f t="shared" si="5"/>
        <v>218.66</v>
      </c>
      <c r="J36" s="136"/>
      <c r="K36" s="107"/>
      <c r="L36" s="137">
        <v>218.66</v>
      </c>
      <c r="M36" s="138"/>
    </row>
    <row r="37" spans="1:13" s="135" customFormat="1" ht="33.75" x14ac:dyDescent="0.25">
      <c r="A37" s="109" t="s">
        <v>279</v>
      </c>
      <c r="B37" s="109" t="s">
        <v>139</v>
      </c>
      <c r="C37" s="109" t="s">
        <v>140</v>
      </c>
      <c r="D37" s="5" t="s">
        <v>113</v>
      </c>
      <c r="E37" s="158">
        <v>300</v>
      </c>
      <c r="F37" s="158">
        <f t="shared" si="3"/>
        <v>3.41</v>
      </c>
      <c r="G37" s="6">
        <f t="shared" si="4"/>
        <v>1023</v>
      </c>
      <c r="I37" s="7">
        <f t="shared" si="5"/>
        <v>3.41</v>
      </c>
      <c r="J37" s="136"/>
      <c r="K37" s="107"/>
      <c r="L37" s="137">
        <v>3.41</v>
      </c>
      <c r="M37" s="138"/>
    </row>
    <row r="38" spans="1:13" s="142" customFormat="1" ht="36" x14ac:dyDescent="0.2">
      <c r="A38" s="109" t="s">
        <v>280</v>
      </c>
      <c r="B38" s="148" t="s">
        <v>141</v>
      </c>
      <c r="C38" s="148" t="s">
        <v>142</v>
      </c>
      <c r="D38" s="149" t="s">
        <v>125</v>
      </c>
      <c r="E38" s="158">
        <v>13</v>
      </c>
      <c r="F38" s="158">
        <f t="shared" si="3"/>
        <v>37.96</v>
      </c>
      <c r="G38" s="6">
        <f t="shared" si="4"/>
        <v>493.48</v>
      </c>
      <c r="I38" s="7">
        <f t="shared" si="5"/>
        <v>37.96</v>
      </c>
      <c r="J38" s="144"/>
      <c r="K38" s="145"/>
      <c r="L38" s="137">
        <v>37.96</v>
      </c>
      <c r="M38" s="147"/>
    </row>
    <row r="39" spans="1:13" s="132" customFormat="1" ht="33.75" x14ac:dyDescent="0.25">
      <c r="A39" s="109" t="s">
        <v>281</v>
      </c>
      <c r="B39" s="109" t="s">
        <v>143</v>
      </c>
      <c r="C39" s="109" t="s">
        <v>144</v>
      </c>
      <c r="D39" s="5" t="s">
        <v>125</v>
      </c>
      <c r="E39" s="158">
        <v>5</v>
      </c>
      <c r="F39" s="158">
        <f t="shared" si="3"/>
        <v>52.44</v>
      </c>
      <c r="G39" s="6">
        <f t="shared" si="4"/>
        <v>262.2</v>
      </c>
      <c r="I39" s="7">
        <f t="shared" si="5"/>
        <v>52.44</v>
      </c>
      <c r="J39" s="106"/>
      <c r="K39" s="134"/>
      <c r="L39" s="137">
        <v>52.44</v>
      </c>
      <c r="M39" s="11"/>
    </row>
    <row r="40" spans="1:13" s="135" customFormat="1" ht="33.75" x14ac:dyDescent="0.25">
      <c r="A40" s="109" t="s">
        <v>282</v>
      </c>
      <c r="B40" s="109" t="s">
        <v>145</v>
      </c>
      <c r="C40" s="109" t="s">
        <v>146</v>
      </c>
      <c r="D40" s="5" t="s">
        <v>113</v>
      </c>
      <c r="E40" s="158">
        <v>1.6</v>
      </c>
      <c r="F40" s="158">
        <f t="shared" si="3"/>
        <v>9.24</v>
      </c>
      <c r="G40" s="6">
        <f t="shared" si="4"/>
        <v>14.78</v>
      </c>
      <c r="I40" s="7">
        <f t="shared" si="5"/>
        <v>9.24</v>
      </c>
      <c r="J40" s="136"/>
      <c r="K40" s="107"/>
      <c r="L40" s="137">
        <v>9.24</v>
      </c>
      <c r="M40" s="138"/>
    </row>
    <row r="41" spans="1:13" s="135" customFormat="1" ht="33.75" x14ac:dyDescent="0.25">
      <c r="A41" s="109" t="s">
        <v>283</v>
      </c>
      <c r="B41" s="109" t="s">
        <v>147</v>
      </c>
      <c r="C41" s="109" t="s">
        <v>148</v>
      </c>
      <c r="D41" s="5" t="s">
        <v>113</v>
      </c>
      <c r="E41" s="158">
        <v>1.68</v>
      </c>
      <c r="F41" s="158">
        <f t="shared" si="3"/>
        <v>12.75</v>
      </c>
      <c r="G41" s="6">
        <f t="shared" si="4"/>
        <v>21.42</v>
      </c>
      <c r="I41" s="7">
        <f t="shared" si="5"/>
        <v>12.75</v>
      </c>
      <c r="J41" s="136"/>
      <c r="K41" s="107"/>
      <c r="L41" s="137">
        <v>12.75</v>
      </c>
      <c r="M41" s="138"/>
    </row>
    <row r="42" spans="1:13" s="135" customFormat="1" ht="20.25" x14ac:dyDescent="0.25">
      <c r="A42" s="109" t="s">
        <v>284</v>
      </c>
      <c r="B42" s="109" t="s">
        <v>149</v>
      </c>
      <c r="C42" s="109" t="s">
        <v>150</v>
      </c>
      <c r="D42" s="5" t="s">
        <v>132</v>
      </c>
      <c r="E42" s="158">
        <v>1</v>
      </c>
      <c r="F42" s="158">
        <f t="shared" si="3"/>
        <v>11.84</v>
      </c>
      <c r="G42" s="6">
        <f t="shared" si="4"/>
        <v>11.84</v>
      </c>
      <c r="I42" s="7">
        <f t="shared" si="5"/>
        <v>11.84</v>
      </c>
      <c r="J42" s="136"/>
      <c r="K42" s="107"/>
      <c r="L42" s="137">
        <v>11.84</v>
      </c>
      <c r="M42" s="138"/>
    </row>
    <row r="43" spans="1:13" s="135" customFormat="1" ht="22.5" x14ac:dyDescent="0.25">
      <c r="A43" s="109" t="s">
        <v>285</v>
      </c>
      <c r="B43" s="109" t="s">
        <v>151</v>
      </c>
      <c r="C43" s="109" t="s">
        <v>152</v>
      </c>
      <c r="D43" s="5" t="s">
        <v>132</v>
      </c>
      <c r="E43" s="158">
        <v>1</v>
      </c>
      <c r="F43" s="158">
        <f t="shared" si="3"/>
        <v>10.84</v>
      </c>
      <c r="G43" s="6">
        <f t="shared" si="4"/>
        <v>10.84</v>
      </c>
      <c r="I43" s="7">
        <f t="shared" si="5"/>
        <v>10.84</v>
      </c>
      <c r="J43" s="136"/>
      <c r="K43" s="107"/>
      <c r="L43" s="137">
        <v>10.84</v>
      </c>
      <c r="M43" s="138"/>
    </row>
    <row r="44" spans="1:13" s="135" customFormat="1" ht="20.25" x14ac:dyDescent="0.25">
      <c r="A44" s="109" t="s">
        <v>286</v>
      </c>
      <c r="B44" s="109" t="s">
        <v>153</v>
      </c>
      <c r="C44" s="109" t="s">
        <v>154</v>
      </c>
      <c r="D44" s="5" t="s">
        <v>132</v>
      </c>
      <c r="E44" s="158">
        <v>1</v>
      </c>
      <c r="F44" s="158">
        <f t="shared" si="3"/>
        <v>9.43</v>
      </c>
      <c r="G44" s="6">
        <f t="shared" si="4"/>
        <v>9.43</v>
      </c>
      <c r="I44" s="7">
        <f t="shared" si="5"/>
        <v>9.43</v>
      </c>
      <c r="J44" s="136"/>
      <c r="K44" s="107"/>
      <c r="L44" s="137">
        <v>9.43</v>
      </c>
      <c r="M44" s="138"/>
    </row>
    <row r="45" spans="1:13" s="135" customFormat="1" ht="20.25" x14ac:dyDescent="0.25">
      <c r="A45" s="109" t="s">
        <v>287</v>
      </c>
      <c r="B45" s="109" t="s">
        <v>155</v>
      </c>
      <c r="C45" s="109" t="s">
        <v>156</v>
      </c>
      <c r="D45" s="5" t="s">
        <v>132</v>
      </c>
      <c r="E45" s="158">
        <v>1</v>
      </c>
      <c r="F45" s="158">
        <f t="shared" si="3"/>
        <v>3.55</v>
      </c>
      <c r="G45" s="6">
        <f t="shared" si="4"/>
        <v>3.55</v>
      </c>
      <c r="I45" s="7">
        <f t="shared" si="5"/>
        <v>3.55</v>
      </c>
      <c r="J45" s="136"/>
      <c r="K45" s="107"/>
      <c r="L45" s="137">
        <v>3.55</v>
      </c>
      <c r="M45" s="138"/>
    </row>
    <row r="46" spans="1:13" s="135" customFormat="1" ht="22.5" x14ac:dyDescent="0.25">
      <c r="A46" s="109" t="s">
        <v>288</v>
      </c>
      <c r="B46" s="109" t="s">
        <v>157</v>
      </c>
      <c r="C46" s="109" t="s">
        <v>158</v>
      </c>
      <c r="D46" s="5" t="s">
        <v>132</v>
      </c>
      <c r="E46" s="158">
        <v>4</v>
      </c>
      <c r="F46" s="158">
        <f t="shared" si="3"/>
        <v>1.33</v>
      </c>
      <c r="G46" s="6">
        <f t="shared" si="4"/>
        <v>5.32</v>
      </c>
      <c r="I46" s="7">
        <f t="shared" si="5"/>
        <v>1.33</v>
      </c>
      <c r="J46" s="136"/>
      <c r="K46" s="107"/>
      <c r="L46" s="137">
        <v>1.33</v>
      </c>
      <c r="M46" s="138"/>
    </row>
    <row r="47" spans="1:13" s="132" customFormat="1" ht="20.25" x14ac:dyDescent="0.25">
      <c r="A47" s="153">
        <v>5</v>
      </c>
      <c r="B47" s="153"/>
      <c r="C47" s="153" t="s">
        <v>160</v>
      </c>
      <c r="D47" s="154"/>
      <c r="E47" s="158"/>
      <c r="F47" s="158"/>
      <c r="G47" s="131">
        <f>SUM(G48:G55)</f>
        <v>5985.9099999999989</v>
      </c>
      <c r="I47" s="7"/>
      <c r="J47" s="106"/>
      <c r="K47" s="134"/>
      <c r="L47" s="137"/>
      <c r="M47" s="11"/>
    </row>
    <row r="48" spans="1:13" s="135" customFormat="1" ht="22.5" x14ac:dyDescent="0.25">
      <c r="A48" s="109" t="s">
        <v>289</v>
      </c>
      <c r="B48" s="155" t="s">
        <v>161</v>
      </c>
      <c r="C48" s="155" t="s">
        <v>162</v>
      </c>
      <c r="D48" s="156" t="s">
        <v>119</v>
      </c>
      <c r="E48" s="158">
        <v>10.96</v>
      </c>
      <c r="F48" s="158">
        <f t="shared" si="3"/>
        <v>31.55</v>
      </c>
      <c r="G48" s="6">
        <f t="shared" si="4"/>
        <v>345.79</v>
      </c>
      <c r="I48" s="7">
        <f t="shared" si="5"/>
        <v>31.55</v>
      </c>
      <c r="J48" s="136"/>
      <c r="K48" s="107"/>
      <c r="L48" s="137">
        <v>31.55</v>
      </c>
      <c r="M48" s="138"/>
    </row>
    <row r="49" spans="1:13" s="135" customFormat="1" ht="22.5" x14ac:dyDescent="0.25">
      <c r="A49" s="109" t="s">
        <v>290</v>
      </c>
      <c r="B49" s="155" t="s">
        <v>163</v>
      </c>
      <c r="C49" s="155" t="s">
        <v>164</v>
      </c>
      <c r="D49" s="156" t="s">
        <v>113</v>
      </c>
      <c r="E49" s="158">
        <v>3.6</v>
      </c>
      <c r="F49" s="158">
        <f t="shared" si="3"/>
        <v>57.11</v>
      </c>
      <c r="G49" s="6">
        <f t="shared" si="4"/>
        <v>205.6</v>
      </c>
      <c r="I49" s="7">
        <f t="shared" si="5"/>
        <v>57.11</v>
      </c>
      <c r="J49" s="136"/>
      <c r="K49" s="107"/>
      <c r="L49" s="137">
        <v>57.11</v>
      </c>
      <c r="M49" s="138"/>
    </row>
    <row r="50" spans="1:13" s="132" customFormat="1" ht="22.5" x14ac:dyDescent="0.25">
      <c r="A50" s="109" t="s">
        <v>291</v>
      </c>
      <c r="B50" s="155" t="s">
        <v>165</v>
      </c>
      <c r="C50" s="155" t="s">
        <v>166</v>
      </c>
      <c r="D50" s="156" t="s">
        <v>113</v>
      </c>
      <c r="E50" s="158">
        <v>3.6</v>
      </c>
      <c r="F50" s="158">
        <f t="shared" si="3"/>
        <v>55.67</v>
      </c>
      <c r="G50" s="6">
        <f t="shared" si="4"/>
        <v>200.41</v>
      </c>
      <c r="I50" s="7">
        <f t="shared" si="5"/>
        <v>55.67</v>
      </c>
      <c r="J50" s="106"/>
      <c r="K50" s="134"/>
      <c r="L50" s="137">
        <v>55.67</v>
      </c>
      <c r="M50" s="11"/>
    </row>
    <row r="51" spans="1:13" s="135" customFormat="1" ht="22.5" x14ac:dyDescent="0.25">
      <c r="A51" s="109" t="s">
        <v>292</v>
      </c>
      <c r="B51" s="155" t="s">
        <v>167</v>
      </c>
      <c r="C51" s="155" t="s">
        <v>168</v>
      </c>
      <c r="D51" s="156" t="s">
        <v>113</v>
      </c>
      <c r="E51" s="158">
        <v>9.3000000000000007</v>
      </c>
      <c r="F51" s="158">
        <f t="shared" si="3"/>
        <v>64.489999999999995</v>
      </c>
      <c r="G51" s="6">
        <f t="shared" si="4"/>
        <v>599.76</v>
      </c>
      <c r="I51" s="7">
        <f t="shared" si="5"/>
        <v>64.489999999999995</v>
      </c>
      <c r="J51" s="136"/>
      <c r="K51" s="107"/>
      <c r="L51" s="137">
        <v>64.489999999999995</v>
      </c>
      <c r="M51" s="138"/>
    </row>
    <row r="52" spans="1:13" s="135" customFormat="1" ht="22.5" x14ac:dyDescent="0.25">
      <c r="A52" s="109" t="s">
        <v>293</v>
      </c>
      <c r="B52" s="155" t="s">
        <v>169</v>
      </c>
      <c r="C52" s="155" t="s">
        <v>170</v>
      </c>
      <c r="D52" s="156" t="s">
        <v>113</v>
      </c>
      <c r="E52" s="158">
        <v>9.3000000000000007</v>
      </c>
      <c r="F52" s="158">
        <f t="shared" si="3"/>
        <v>61.32</v>
      </c>
      <c r="G52" s="6">
        <f t="shared" si="4"/>
        <v>570.28</v>
      </c>
      <c r="I52" s="7">
        <f t="shared" si="5"/>
        <v>61.32</v>
      </c>
      <c r="J52" s="136"/>
      <c r="K52" s="107"/>
      <c r="L52" s="137">
        <v>61.32</v>
      </c>
      <c r="M52" s="138"/>
    </row>
    <row r="53" spans="1:13" s="150" customFormat="1" ht="45" x14ac:dyDescent="0.2">
      <c r="A53" s="109" t="s">
        <v>294</v>
      </c>
      <c r="B53" s="155" t="s">
        <v>171</v>
      </c>
      <c r="C53" s="155" t="s">
        <v>172</v>
      </c>
      <c r="D53" s="156" t="s">
        <v>119</v>
      </c>
      <c r="E53" s="158">
        <v>9.6</v>
      </c>
      <c r="F53" s="158">
        <f t="shared" si="3"/>
        <v>321.56</v>
      </c>
      <c r="G53" s="6">
        <f t="shared" si="4"/>
        <v>3086.98</v>
      </c>
      <c r="I53" s="7">
        <f t="shared" si="5"/>
        <v>321.56</v>
      </c>
      <c r="J53" s="144"/>
      <c r="K53" s="151"/>
      <c r="L53" s="137">
        <v>321.56</v>
      </c>
      <c r="M53" s="147"/>
    </row>
    <row r="54" spans="1:13" s="1" customFormat="1" ht="22.5" x14ac:dyDescent="0.25">
      <c r="A54" s="109" t="s">
        <v>295</v>
      </c>
      <c r="B54" s="155" t="s">
        <v>173</v>
      </c>
      <c r="C54" s="155" t="s">
        <v>174</v>
      </c>
      <c r="D54" s="156" t="s">
        <v>116</v>
      </c>
      <c r="E54" s="158">
        <v>9.6</v>
      </c>
      <c r="F54" s="158">
        <f t="shared" si="3"/>
        <v>73.67</v>
      </c>
      <c r="G54" s="6">
        <f t="shared" si="4"/>
        <v>707.23</v>
      </c>
      <c r="I54" s="7">
        <f t="shared" si="5"/>
        <v>73.67</v>
      </c>
      <c r="J54" s="106"/>
      <c r="K54" s="107"/>
      <c r="L54" s="137">
        <v>73.67</v>
      </c>
      <c r="M54" s="11"/>
    </row>
    <row r="55" spans="1:13" s="135" customFormat="1" ht="22.5" x14ac:dyDescent="0.25">
      <c r="A55" s="109" t="s">
        <v>296</v>
      </c>
      <c r="B55" s="155" t="s">
        <v>175</v>
      </c>
      <c r="C55" s="155" t="s">
        <v>176</v>
      </c>
      <c r="D55" s="156" t="s">
        <v>119</v>
      </c>
      <c r="E55" s="158">
        <v>28.14</v>
      </c>
      <c r="F55" s="158">
        <f t="shared" si="3"/>
        <v>9.59</v>
      </c>
      <c r="G55" s="6">
        <f t="shared" si="4"/>
        <v>269.86</v>
      </c>
      <c r="I55" s="7">
        <f t="shared" si="5"/>
        <v>9.59</v>
      </c>
      <c r="J55" s="136"/>
      <c r="K55" s="107"/>
      <c r="L55" s="137">
        <v>9.59</v>
      </c>
      <c r="M55" s="138"/>
    </row>
    <row r="56" spans="1:13" s="135" customFormat="1" ht="20.25" x14ac:dyDescent="0.25">
      <c r="A56" s="129">
        <v>6</v>
      </c>
      <c r="B56" s="109"/>
      <c r="C56" s="109" t="s">
        <v>178</v>
      </c>
      <c r="D56" s="5"/>
      <c r="E56" s="158"/>
      <c r="F56" s="158"/>
      <c r="G56" s="131">
        <f>SUM(G57:G60)</f>
        <v>2851.95</v>
      </c>
      <c r="I56" s="7"/>
      <c r="J56" s="136"/>
      <c r="K56" s="107"/>
      <c r="L56" s="137"/>
      <c r="M56" s="138"/>
    </row>
    <row r="57" spans="1:13" s="135" customFormat="1" ht="33.75" x14ac:dyDescent="0.25">
      <c r="A57" s="109" t="s">
        <v>297</v>
      </c>
      <c r="B57" s="109" t="s">
        <v>179</v>
      </c>
      <c r="C57" s="109" t="s">
        <v>180</v>
      </c>
      <c r="D57" s="5" t="s">
        <v>119</v>
      </c>
      <c r="E57" s="158">
        <v>5.28</v>
      </c>
      <c r="F57" s="158">
        <f t="shared" si="3"/>
        <v>52.17</v>
      </c>
      <c r="G57" s="6">
        <f t="shared" si="4"/>
        <v>275.45999999999998</v>
      </c>
      <c r="I57" s="7">
        <f t="shared" si="5"/>
        <v>52.17</v>
      </c>
      <c r="J57" s="136"/>
      <c r="K57" s="107"/>
      <c r="L57" s="137">
        <v>52.17</v>
      </c>
      <c r="M57" s="138"/>
    </row>
    <row r="58" spans="1:13" s="132" customFormat="1" ht="33.75" x14ac:dyDescent="0.25">
      <c r="A58" s="109" t="s">
        <v>298</v>
      </c>
      <c r="B58" s="109" t="s">
        <v>181</v>
      </c>
      <c r="C58" s="109" t="s">
        <v>182</v>
      </c>
      <c r="D58" s="5" t="s">
        <v>119</v>
      </c>
      <c r="E58" s="158">
        <v>19.3</v>
      </c>
      <c r="F58" s="158">
        <f t="shared" si="3"/>
        <v>44.33</v>
      </c>
      <c r="G58" s="6">
        <f t="shared" si="4"/>
        <v>855.57</v>
      </c>
      <c r="I58" s="7">
        <f t="shared" si="5"/>
        <v>44.33</v>
      </c>
      <c r="J58" s="106"/>
      <c r="K58" s="134"/>
      <c r="L58" s="137">
        <v>44.33</v>
      </c>
      <c r="M58" s="11"/>
    </row>
    <row r="59" spans="1:13" s="135" customFormat="1" ht="22.5" x14ac:dyDescent="0.25">
      <c r="A59" s="109" t="s">
        <v>299</v>
      </c>
      <c r="B59" s="109" t="s">
        <v>183</v>
      </c>
      <c r="C59" s="109" t="s">
        <v>184</v>
      </c>
      <c r="D59" s="5" t="s">
        <v>113</v>
      </c>
      <c r="E59" s="158">
        <v>26.51</v>
      </c>
      <c r="F59" s="158">
        <f t="shared" si="3"/>
        <v>6.14</v>
      </c>
      <c r="G59" s="6">
        <f t="shared" si="4"/>
        <v>162.77000000000001</v>
      </c>
      <c r="I59" s="7">
        <f t="shared" si="5"/>
        <v>6.14</v>
      </c>
      <c r="J59" s="136"/>
      <c r="K59" s="107"/>
      <c r="L59" s="137">
        <v>6.14</v>
      </c>
      <c r="M59" s="138"/>
    </row>
    <row r="60" spans="1:13" s="135" customFormat="1" ht="45" x14ac:dyDescent="0.25">
      <c r="A60" s="109" t="s">
        <v>300</v>
      </c>
      <c r="B60" s="109" t="s">
        <v>185</v>
      </c>
      <c r="C60" s="109" t="s">
        <v>186</v>
      </c>
      <c r="D60" s="5" t="s">
        <v>119</v>
      </c>
      <c r="E60" s="158">
        <v>30.83</v>
      </c>
      <c r="F60" s="158">
        <f t="shared" si="3"/>
        <v>50.54</v>
      </c>
      <c r="G60" s="6">
        <f t="shared" si="4"/>
        <v>1558.15</v>
      </c>
      <c r="I60" s="7">
        <f t="shared" si="5"/>
        <v>50.54</v>
      </c>
      <c r="J60" s="136"/>
      <c r="K60" s="107"/>
      <c r="L60" s="137">
        <v>50.54</v>
      </c>
      <c r="M60" s="138"/>
    </row>
    <row r="61" spans="1:13" s="135" customFormat="1" ht="20.25" x14ac:dyDescent="0.25">
      <c r="A61" s="129">
        <v>7</v>
      </c>
      <c r="B61" s="109"/>
      <c r="C61" s="109" t="s">
        <v>188</v>
      </c>
      <c r="D61" s="5"/>
      <c r="E61" s="158"/>
      <c r="F61" s="158"/>
      <c r="G61" s="131">
        <f>SUM(G62:G69)</f>
        <v>14191.760000000002</v>
      </c>
      <c r="I61" s="7"/>
      <c r="J61" s="136"/>
      <c r="K61" s="107"/>
      <c r="L61" s="137"/>
      <c r="M61" s="138"/>
    </row>
    <row r="62" spans="1:13" s="150" customFormat="1" ht="24" x14ac:dyDescent="0.2">
      <c r="A62" s="109" t="s">
        <v>301</v>
      </c>
      <c r="B62" s="148" t="s">
        <v>189</v>
      </c>
      <c r="C62" s="148" t="s">
        <v>190</v>
      </c>
      <c r="D62" s="149" t="s">
        <v>191</v>
      </c>
      <c r="E62" s="158">
        <v>1.28</v>
      </c>
      <c r="F62" s="158">
        <f t="shared" si="3"/>
        <v>290.56</v>
      </c>
      <c r="G62" s="6">
        <f t="shared" si="4"/>
        <v>371.92</v>
      </c>
      <c r="I62" s="7">
        <f t="shared" si="5"/>
        <v>290.56</v>
      </c>
      <c r="J62" s="144"/>
      <c r="K62" s="151"/>
      <c r="L62" s="137">
        <v>290.56</v>
      </c>
      <c r="M62" s="147"/>
    </row>
    <row r="63" spans="1:13" s="1" customFormat="1" ht="22.5" x14ac:dyDescent="0.25">
      <c r="A63" s="109" t="s">
        <v>302</v>
      </c>
      <c r="B63" s="109" t="s">
        <v>192</v>
      </c>
      <c r="C63" s="109" t="s">
        <v>193</v>
      </c>
      <c r="D63" s="5" t="s">
        <v>119</v>
      </c>
      <c r="E63" s="158">
        <v>156.57</v>
      </c>
      <c r="F63" s="158">
        <f t="shared" si="3"/>
        <v>1.9</v>
      </c>
      <c r="G63" s="6">
        <f t="shared" si="4"/>
        <v>297.48</v>
      </c>
      <c r="I63" s="7">
        <f t="shared" si="5"/>
        <v>1.9</v>
      </c>
      <c r="J63" s="106"/>
      <c r="K63" s="107"/>
      <c r="L63" s="137">
        <v>1.9</v>
      </c>
      <c r="M63" s="11"/>
    </row>
    <row r="64" spans="1:13" s="142" customFormat="1" ht="36" x14ac:dyDescent="0.2">
      <c r="A64" s="109" t="s">
        <v>303</v>
      </c>
      <c r="B64" s="148" t="s">
        <v>194</v>
      </c>
      <c r="C64" s="148" t="s">
        <v>195</v>
      </c>
      <c r="D64" s="149" t="s">
        <v>119</v>
      </c>
      <c r="E64" s="158">
        <v>12.02</v>
      </c>
      <c r="F64" s="158">
        <f t="shared" si="3"/>
        <v>65.69</v>
      </c>
      <c r="G64" s="6">
        <f t="shared" si="4"/>
        <v>789.59</v>
      </c>
      <c r="I64" s="7">
        <f t="shared" si="5"/>
        <v>65.69</v>
      </c>
      <c r="J64" s="144"/>
      <c r="K64" s="145"/>
      <c r="L64" s="137">
        <v>65.69</v>
      </c>
      <c r="M64" s="147"/>
    </row>
    <row r="65" spans="1:13" s="132" customFormat="1" ht="20.25" x14ac:dyDescent="0.25">
      <c r="A65" s="109" t="s">
        <v>304</v>
      </c>
      <c r="B65" s="109" t="s">
        <v>196</v>
      </c>
      <c r="C65" s="109" t="s">
        <v>197</v>
      </c>
      <c r="D65" s="5" t="s">
        <v>198</v>
      </c>
      <c r="E65" s="158">
        <v>80.11</v>
      </c>
      <c r="F65" s="158">
        <f t="shared" si="3"/>
        <v>31.79</v>
      </c>
      <c r="G65" s="6">
        <f t="shared" si="4"/>
        <v>2546.6999999999998</v>
      </c>
      <c r="I65" s="7">
        <f t="shared" si="5"/>
        <v>31.79</v>
      </c>
      <c r="J65" s="106"/>
      <c r="K65" s="134"/>
      <c r="L65" s="137">
        <v>31.79</v>
      </c>
      <c r="M65" s="11"/>
    </row>
    <row r="66" spans="1:13" s="135" customFormat="1" ht="33.75" x14ac:dyDescent="0.25">
      <c r="A66" s="109" t="s">
        <v>305</v>
      </c>
      <c r="B66" s="109" t="s">
        <v>199</v>
      </c>
      <c r="C66" s="109" t="s">
        <v>200</v>
      </c>
      <c r="D66" s="5" t="s">
        <v>119</v>
      </c>
      <c r="E66" s="158">
        <v>57.41</v>
      </c>
      <c r="F66" s="158">
        <f t="shared" si="3"/>
        <v>48.65</v>
      </c>
      <c r="G66" s="6">
        <f t="shared" si="4"/>
        <v>2793</v>
      </c>
      <c r="I66" s="7">
        <f t="shared" si="5"/>
        <v>48.65</v>
      </c>
      <c r="J66" s="136"/>
      <c r="K66" s="107"/>
      <c r="L66" s="137">
        <v>48.65</v>
      </c>
      <c r="M66" s="138"/>
    </row>
    <row r="67" spans="1:13" s="135" customFormat="1" ht="33.75" x14ac:dyDescent="0.25">
      <c r="A67" s="109" t="s">
        <v>306</v>
      </c>
      <c r="B67" s="109" t="s">
        <v>201</v>
      </c>
      <c r="C67" s="109" t="s">
        <v>202</v>
      </c>
      <c r="D67" s="5" t="s">
        <v>119</v>
      </c>
      <c r="E67" s="158">
        <v>68.98</v>
      </c>
      <c r="F67" s="158">
        <f t="shared" si="3"/>
        <v>75.52</v>
      </c>
      <c r="G67" s="6">
        <f t="shared" si="4"/>
        <v>5209.37</v>
      </c>
      <c r="I67" s="7">
        <f t="shared" si="5"/>
        <v>75.52</v>
      </c>
      <c r="J67" s="136"/>
      <c r="K67" s="107"/>
      <c r="L67" s="137">
        <v>75.52</v>
      </c>
      <c r="M67" s="138"/>
    </row>
    <row r="68" spans="1:13" s="135" customFormat="1" ht="22.5" x14ac:dyDescent="0.25">
      <c r="A68" s="109" t="s">
        <v>307</v>
      </c>
      <c r="B68" s="109" t="s">
        <v>203</v>
      </c>
      <c r="C68" s="109" t="s">
        <v>204</v>
      </c>
      <c r="D68" s="5" t="s">
        <v>191</v>
      </c>
      <c r="E68" s="158">
        <v>1.32</v>
      </c>
      <c r="F68" s="158">
        <f t="shared" si="3"/>
        <v>110.62</v>
      </c>
      <c r="G68" s="6">
        <f t="shared" si="4"/>
        <v>146.02000000000001</v>
      </c>
      <c r="I68" s="7">
        <f t="shared" si="5"/>
        <v>110.62</v>
      </c>
      <c r="J68" s="136"/>
      <c r="K68" s="107"/>
      <c r="L68" s="137">
        <v>110.62</v>
      </c>
      <c r="M68" s="138"/>
    </row>
    <row r="69" spans="1:13" s="135" customFormat="1" ht="45" x14ac:dyDescent="0.25">
      <c r="A69" s="109" t="s">
        <v>308</v>
      </c>
      <c r="B69" s="109" t="s">
        <v>205</v>
      </c>
      <c r="C69" s="109" t="s">
        <v>206</v>
      </c>
      <c r="D69" s="5" t="s">
        <v>119</v>
      </c>
      <c r="E69" s="158">
        <v>26.46</v>
      </c>
      <c r="F69" s="158">
        <f t="shared" si="3"/>
        <v>77.010000000000005</v>
      </c>
      <c r="G69" s="6">
        <f t="shared" si="4"/>
        <v>2037.68</v>
      </c>
      <c r="I69" s="7">
        <f t="shared" si="5"/>
        <v>77.010000000000005</v>
      </c>
      <c r="J69" s="136"/>
      <c r="K69" s="107"/>
      <c r="L69" s="137">
        <v>77.010000000000005</v>
      </c>
      <c r="M69" s="138"/>
    </row>
    <row r="70" spans="1:13" s="135" customFormat="1" ht="20.25" x14ac:dyDescent="0.25">
      <c r="A70" s="129">
        <v>8</v>
      </c>
      <c r="B70" s="109"/>
      <c r="C70" s="109" t="s">
        <v>208</v>
      </c>
      <c r="D70" s="5"/>
      <c r="E70" s="158"/>
      <c r="F70" s="158"/>
      <c r="G70" s="131">
        <f>SUM(G71:G81)</f>
        <v>1359.6499999999999</v>
      </c>
      <c r="I70" s="7"/>
      <c r="J70" s="136"/>
      <c r="K70" s="107"/>
      <c r="L70" s="137"/>
      <c r="M70" s="138"/>
    </row>
    <row r="71" spans="1:13" s="135" customFormat="1" ht="22.5" x14ac:dyDescent="0.25">
      <c r="A71" s="109" t="s">
        <v>309</v>
      </c>
      <c r="B71" s="109" t="s">
        <v>192</v>
      </c>
      <c r="C71" s="109" t="s">
        <v>193</v>
      </c>
      <c r="D71" s="5" t="s">
        <v>119</v>
      </c>
      <c r="E71" s="158">
        <v>0.86</v>
      </c>
      <c r="F71" s="158">
        <f t="shared" si="3"/>
        <v>1.9</v>
      </c>
      <c r="G71" s="6">
        <f t="shared" ref="G71:G81" si="6">ROUND(F71*E71,2)</f>
        <v>1.63</v>
      </c>
      <c r="I71" s="7">
        <f t="shared" si="5"/>
        <v>1.9</v>
      </c>
      <c r="J71" s="136"/>
      <c r="K71" s="107"/>
      <c r="L71" s="137">
        <v>1.9</v>
      </c>
      <c r="M71" s="138"/>
    </row>
    <row r="72" spans="1:13" s="135" customFormat="1" ht="22.5" x14ac:dyDescent="0.25">
      <c r="A72" s="109" t="s">
        <v>310</v>
      </c>
      <c r="B72" s="109" t="s">
        <v>203</v>
      </c>
      <c r="C72" s="109" t="s">
        <v>204</v>
      </c>
      <c r="D72" s="5" t="s">
        <v>191</v>
      </c>
      <c r="E72" s="158">
        <v>0.04</v>
      </c>
      <c r="F72" s="158">
        <f t="shared" si="3"/>
        <v>110.62</v>
      </c>
      <c r="G72" s="6">
        <f t="shared" ref="G72" si="7">ROUND(F72*E72,2)</f>
        <v>4.42</v>
      </c>
      <c r="I72" s="7">
        <f t="shared" si="5"/>
        <v>110.62</v>
      </c>
      <c r="J72" s="136"/>
      <c r="K72" s="107"/>
      <c r="L72" s="137">
        <v>110.62</v>
      </c>
      <c r="M72" s="138"/>
    </row>
    <row r="73" spans="1:13" s="135" customFormat="1" ht="45" x14ac:dyDescent="0.25">
      <c r="A73" s="109" t="s">
        <v>311</v>
      </c>
      <c r="B73" s="109" t="s">
        <v>209</v>
      </c>
      <c r="C73" s="109" t="s">
        <v>210</v>
      </c>
      <c r="D73" s="5" t="s">
        <v>119</v>
      </c>
      <c r="E73" s="158">
        <v>1.1200000000000001</v>
      </c>
      <c r="F73" s="158">
        <f t="shared" si="3"/>
        <v>107.43</v>
      </c>
      <c r="G73" s="6">
        <f t="shared" si="6"/>
        <v>120.32</v>
      </c>
      <c r="I73" s="7">
        <f t="shared" si="5"/>
        <v>107.43</v>
      </c>
      <c r="J73" s="136"/>
      <c r="K73" s="107"/>
      <c r="L73" s="137">
        <v>107.43</v>
      </c>
      <c r="M73" s="138"/>
    </row>
    <row r="74" spans="1:13" s="132" customFormat="1" ht="56.25" x14ac:dyDescent="0.25">
      <c r="A74" s="109" t="s">
        <v>312</v>
      </c>
      <c r="B74" s="109">
        <v>87464</v>
      </c>
      <c r="C74" s="109" t="s">
        <v>341</v>
      </c>
      <c r="D74" s="5" t="s">
        <v>119</v>
      </c>
      <c r="E74" s="158">
        <v>2.2799999999999998</v>
      </c>
      <c r="F74" s="158">
        <f t="shared" si="3"/>
        <v>108.08</v>
      </c>
      <c r="G74" s="6">
        <f t="shared" si="6"/>
        <v>246.42</v>
      </c>
      <c r="I74" s="7">
        <f t="shared" si="5"/>
        <v>108.08</v>
      </c>
      <c r="J74" s="106"/>
      <c r="K74" s="134"/>
      <c r="L74" s="137">
        <v>108.08</v>
      </c>
      <c r="M74" s="11"/>
    </row>
    <row r="75" spans="1:13" s="135" customFormat="1" ht="22.5" x14ac:dyDescent="0.25">
      <c r="A75" s="109" t="s">
        <v>313</v>
      </c>
      <c r="B75" s="109" t="s">
        <v>89</v>
      </c>
      <c r="C75" s="109" t="s">
        <v>211</v>
      </c>
      <c r="D75" s="5" t="s">
        <v>119</v>
      </c>
      <c r="E75" s="158">
        <v>0.34</v>
      </c>
      <c r="F75" s="158">
        <f t="shared" si="3"/>
        <v>576.63</v>
      </c>
      <c r="G75" s="6">
        <f t="shared" si="6"/>
        <v>196.05</v>
      </c>
      <c r="I75" s="7">
        <f t="shared" si="5"/>
        <v>576.63</v>
      </c>
      <c r="J75" s="136"/>
      <c r="K75" s="107"/>
      <c r="L75" s="137">
        <v>576.63</v>
      </c>
      <c r="M75" s="138"/>
    </row>
    <row r="76" spans="1:13" s="135" customFormat="1" ht="22.5" x14ac:dyDescent="0.25">
      <c r="A76" s="109" t="s">
        <v>314</v>
      </c>
      <c r="B76" s="109" t="s">
        <v>212</v>
      </c>
      <c r="C76" s="109" t="s">
        <v>213</v>
      </c>
      <c r="D76" s="5" t="s">
        <v>119</v>
      </c>
      <c r="E76" s="158">
        <v>0.86</v>
      </c>
      <c r="F76" s="158">
        <f t="shared" si="3"/>
        <v>58.96</v>
      </c>
      <c r="G76" s="6">
        <f t="shared" si="6"/>
        <v>50.71</v>
      </c>
      <c r="I76" s="7">
        <f t="shared" si="5"/>
        <v>58.96</v>
      </c>
      <c r="J76" s="136"/>
      <c r="K76" s="107"/>
      <c r="L76" s="137">
        <v>58.96</v>
      </c>
      <c r="M76" s="138"/>
    </row>
    <row r="77" spans="1:13" s="150" customFormat="1" ht="48" x14ac:dyDescent="0.2">
      <c r="A77" s="109" t="s">
        <v>315</v>
      </c>
      <c r="B77" s="148" t="s">
        <v>214</v>
      </c>
      <c r="C77" s="148" t="s">
        <v>215</v>
      </c>
      <c r="D77" s="149" t="s">
        <v>216</v>
      </c>
      <c r="E77" s="158">
        <v>1.1200000000000001</v>
      </c>
      <c r="F77" s="158">
        <f t="shared" si="3"/>
        <v>37.47</v>
      </c>
      <c r="G77" s="6">
        <f t="shared" si="6"/>
        <v>41.97</v>
      </c>
      <c r="I77" s="7">
        <f t="shared" si="5"/>
        <v>37.47</v>
      </c>
      <c r="J77" s="144"/>
      <c r="K77" s="151"/>
      <c r="L77" s="137">
        <v>37.47</v>
      </c>
      <c r="M77" s="147"/>
    </row>
    <row r="78" spans="1:13" s="1" customFormat="1" ht="56.25" x14ac:dyDescent="0.25">
      <c r="A78" s="109" t="s">
        <v>316</v>
      </c>
      <c r="B78" s="109" t="s">
        <v>217</v>
      </c>
      <c r="C78" s="109" t="s">
        <v>218</v>
      </c>
      <c r="D78" s="5" t="s">
        <v>191</v>
      </c>
      <c r="E78" s="158">
        <v>7.0000000000000007E-2</v>
      </c>
      <c r="F78" s="158">
        <f t="shared" si="3"/>
        <v>690.43</v>
      </c>
      <c r="G78" s="6">
        <f t="shared" si="6"/>
        <v>48.33</v>
      </c>
      <c r="I78" s="7">
        <f t="shared" si="5"/>
        <v>690.43</v>
      </c>
      <c r="J78" s="106"/>
      <c r="K78" s="107"/>
      <c r="L78" s="137">
        <v>690.43</v>
      </c>
      <c r="M78" s="11"/>
    </row>
    <row r="79" spans="1:13" s="135" customFormat="1" ht="33.75" x14ac:dyDescent="0.25">
      <c r="A79" s="109" t="s">
        <v>317</v>
      </c>
      <c r="B79" s="109" t="s">
        <v>219</v>
      </c>
      <c r="C79" s="109" t="s">
        <v>220</v>
      </c>
      <c r="D79" s="5" t="s">
        <v>216</v>
      </c>
      <c r="E79" s="158">
        <v>1</v>
      </c>
      <c r="F79" s="158">
        <f t="shared" si="3"/>
        <v>556.30999999999995</v>
      </c>
      <c r="G79" s="6">
        <f t="shared" si="6"/>
        <v>556.30999999999995</v>
      </c>
      <c r="I79" s="7">
        <f t="shared" si="5"/>
        <v>556.30999999999995</v>
      </c>
      <c r="J79" s="136"/>
      <c r="K79" s="107"/>
      <c r="L79" s="137">
        <v>556.30999999999995</v>
      </c>
      <c r="M79" s="138"/>
    </row>
    <row r="80" spans="1:13" s="135" customFormat="1" ht="22.5" x14ac:dyDescent="0.25">
      <c r="A80" s="109" t="s">
        <v>318</v>
      </c>
      <c r="B80" s="109" t="s">
        <v>221</v>
      </c>
      <c r="C80" s="109" t="s">
        <v>222</v>
      </c>
      <c r="D80" s="5" t="s">
        <v>125</v>
      </c>
      <c r="E80" s="158">
        <v>1</v>
      </c>
      <c r="F80" s="158">
        <f t="shared" si="3"/>
        <v>38.21</v>
      </c>
      <c r="G80" s="6">
        <f t="shared" si="6"/>
        <v>38.21</v>
      </c>
      <c r="I80" s="7">
        <f t="shared" si="5"/>
        <v>38.21</v>
      </c>
      <c r="J80" s="136"/>
      <c r="K80" s="107"/>
      <c r="L80" s="137">
        <v>38.21</v>
      </c>
      <c r="M80" s="138"/>
    </row>
    <row r="81" spans="1:17" s="135" customFormat="1" ht="33.75" x14ac:dyDescent="0.25">
      <c r="A81" s="109" t="s">
        <v>340</v>
      </c>
      <c r="B81" s="109" t="s">
        <v>339</v>
      </c>
      <c r="C81" s="109" t="s">
        <v>338</v>
      </c>
      <c r="D81" s="5" t="s">
        <v>113</v>
      </c>
      <c r="E81" s="158">
        <v>2</v>
      </c>
      <c r="F81" s="158">
        <f t="shared" si="3"/>
        <v>27.64</v>
      </c>
      <c r="G81" s="6">
        <f t="shared" si="6"/>
        <v>55.28</v>
      </c>
      <c r="I81" s="7">
        <f t="shared" si="5"/>
        <v>27.64</v>
      </c>
      <c r="J81" s="136"/>
      <c r="K81" s="107"/>
      <c r="L81" s="137">
        <v>27.64</v>
      </c>
      <c r="M81" s="138"/>
    </row>
    <row r="82" spans="1:17" s="132" customFormat="1" ht="20.25" x14ac:dyDescent="0.25">
      <c r="A82" s="129">
        <v>9</v>
      </c>
      <c r="B82" s="109"/>
      <c r="C82" s="129" t="s">
        <v>224</v>
      </c>
      <c r="D82" s="130"/>
      <c r="E82" s="158"/>
      <c r="F82" s="158"/>
      <c r="G82" s="131">
        <f>SUM(G83:G87)</f>
        <v>12329.31</v>
      </c>
      <c r="I82" s="7"/>
      <c r="J82" s="106"/>
      <c r="K82" s="134"/>
      <c r="L82" s="137"/>
      <c r="M82" s="11"/>
    </row>
    <row r="83" spans="1:17" s="132" customFormat="1" ht="56.25" x14ac:dyDescent="0.25">
      <c r="A83" s="109" t="s">
        <v>319</v>
      </c>
      <c r="B83" s="109" t="s">
        <v>225</v>
      </c>
      <c r="C83" s="109" t="s">
        <v>226</v>
      </c>
      <c r="D83" s="5" t="s">
        <v>113</v>
      </c>
      <c r="E83" s="158">
        <v>11.82</v>
      </c>
      <c r="F83" s="158">
        <f t="shared" si="3"/>
        <v>505.54</v>
      </c>
      <c r="G83" s="6">
        <f t="shared" ref="G83:G98" si="8">ROUND(F83*E83,2)</f>
        <v>5975.48</v>
      </c>
      <c r="I83" s="7">
        <f t="shared" si="5"/>
        <v>505.54</v>
      </c>
      <c r="J83" s="106"/>
      <c r="K83" s="134"/>
      <c r="L83" s="137">
        <v>505.54</v>
      </c>
      <c r="M83" s="11"/>
      <c r="Q83" s="157"/>
    </row>
    <row r="84" spans="1:17" s="132" customFormat="1" ht="22.5" x14ac:dyDescent="0.25">
      <c r="A84" s="109" t="s">
        <v>320</v>
      </c>
      <c r="B84" s="109" t="s">
        <v>227</v>
      </c>
      <c r="C84" s="109" t="s">
        <v>228</v>
      </c>
      <c r="D84" s="5" t="s">
        <v>216</v>
      </c>
      <c r="E84" s="158">
        <v>6.75</v>
      </c>
      <c r="F84" s="158">
        <f t="shared" si="3"/>
        <v>255.06</v>
      </c>
      <c r="G84" s="6">
        <f t="shared" si="8"/>
        <v>1721.66</v>
      </c>
      <c r="I84" s="7">
        <f t="shared" si="5"/>
        <v>255.06</v>
      </c>
      <c r="J84" s="106"/>
      <c r="K84" s="134"/>
      <c r="L84" s="137">
        <v>255.06</v>
      </c>
      <c r="M84" s="11"/>
    </row>
    <row r="85" spans="1:17" s="132" customFormat="1" ht="22.5" x14ac:dyDescent="0.25">
      <c r="A85" s="109" t="s">
        <v>321</v>
      </c>
      <c r="B85" s="109" t="s">
        <v>229</v>
      </c>
      <c r="C85" s="109" t="s">
        <v>230</v>
      </c>
      <c r="D85" s="5" t="s">
        <v>113</v>
      </c>
      <c r="E85" s="158">
        <v>23.55</v>
      </c>
      <c r="F85" s="158">
        <f t="shared" si="3"/>
        <v>177.94</v>
      </c>
      <c r="G85" s="6">
        <f t="shared" si="8"/>
        <v>4190.49</v>
      </c>
      <c r="I85" s="7">
        <f t="shared" si="5"/>
        <v>177.94</v>
      </c>
      <c r="J85" s="106"/>
      <c r="K85" s="134"/>
      <c r="L85" s="137">
        <v>177.94</v>
      </c>
      <c r="M85" s="11"/>
    </row>
    <row r="86" spans="1:17" s="132" customFormat="1" ht="22.5" x14ac:dyDescent="0.25">
      <c r="A86" s="109" t="s">
        <v>322</v>
      </c>
      <c r="B86" s="109" t="s">
        <v>231</v>
      </c>
      <c r="C86" s="109" t="s">
        <v>232</v>
      </c>
      <c r="D86" s="5" t="s">
        <v>216</v>
      </c>
      <c r="E86" s="158">
        <v>0.35</v>
      </c>
      <c r="F86" s="158">
        <f t="shared" si="3"/>
        <v>840.84</v>
      </c>
      <c r="G86" s="6">
        <f t="shared" si="8"/>
        <v>294.29000000000002</v>
      </c>
      <c r="I86" s="7">
        <f t="shared" si="5"/>
        <v>840.84</v>
      </c>
      <c r="J86" s="106"/>
      <c r="K86" s="134"/>
      <c r="L86" s="137">
        <v>840.84</v>
      </c>
      <c r="M86" s="11"/>
    </row>
    <row r="87" spans="1:17" s="132" customFormat="1" ht="22.5" x14ac:dyDescent="0.25">
      <c r="A87" s="109" t="s">
        <v>323</v>
      </c>
      <c r="B87" s="109" t="s">
        <v>233</v>
      </c>
      <c r="C87" s="109" t="s">
        <v>234</v>
      </c>
      <c r="D87" s="5" t="s">
        <v>116</v>
      </c>
      <c r="E87" s="158">
        <v>3</v>
      </c>
      <c r="F87" s="158">
        <f t="shared" si="3"/>
        <v>49.13</v>
      </c>
      <c r="G87" s="6">
        <f t="shared" si="8"/>
        <v>147.38999999999999</v>
      </c>
      <c r="I87" s="7">
        <f t="shared" si="5"/>
        <v>49.13</v>
      </c>
      <c r="J87" s="106"/>
      <c r="K87" s="134"/>
      <c r="L87" s="137">
        <v>49.13</v>
      </c>
      <c r="M87" s="11"/>
    </row>
    <row r="88" spans="1:17" s="132" customFormat="1" ht="20.25" x14ac:dyDescent="0.25">
      <c r="A88" s="129">
        <v>10</v>
      </c>
      <c r="B88" s="109"/>
      <c r="C88" s="129" t="s">
        <v>235</v>
      </c>
      <c r="D88" s="5"/>
      <c r="E88" s="158"/>
      <c r="F88" s="158"/>
      <c r="G88" s="131">
        <f>SUM(G89:G93)</f>
        <v>7796.7099999999991</v>
      </c>
      <c r="I88" s="7"/>
      <c r="J88" s="106"/>
      <c r="K88" s="134"/>
      <c r="L88" s="137"/>
      <c r="M88" s="11"/>
    </row>
    <row r="89" spans="1:17" s="132" customFormat="1" ht="56.25" x14ac:dyDescent="0.25">
      <c r="A89" s="109" t="s">
        <v>324</v>
      </c>
      <c r="B89" s="109" t="s">
        <v>243</v>
      </c>
      <c r="C89" s="109" t="s">
        <v>236</v>
      </c>
      <c r="D89" s="5" t="s">
        <v>125</v>
      </c>
      <c r="E89" s="158">
        <v>3</v>
      </c>
      <c r="F89" s="158">
        <f t="shared" si="3"/>
        <v>581.14</v>
      </c>
      <c r="G89" s="6">
        <f t="shared" si="8"/>
        <v>1743.42</v>
      </c>
      <c r="I89" s="7">
        <f t="shared" si="5"/>
        <v>581.14</v>
      </c>
      <c r="J89" s="106"/>
      <c r="K89" s="134"/>
      <c r="L89" s="137">
        <v>581.14</v>
      </c>
      <c r="M89" s="11"/>
    </row>
    <row r="90" spans="1:17" s="132" customFormat="1" ht="33.75" x14ac:dyDescent="0.25">
      <c r="A90" s="109" t="s">
        <v>325</v>
      </c>
      <c r="B90" s="109" t="s">
        <v>244</v>
      </c>
      <c r="C90" s="109" t="s">
        <v>237</v>
      </c>
      <c r="D90" s="5" t="s">
        <v>125</v>
      </c>
      <c r="E90" s="158">
        <v>4</v>
      </c>
      <c r="F90" s="158">
        <f t="shared" si="3"/>
        <v>100.31</v>
      </c>
      <c r="G90" s="6">
        <f t="shared" si="8"/>
        <v>401.24</v>
      </c>
      <c r="I90" s="7">
        <f t="shared" ref="I90:I104" si="9">ROUND(L90-(L90*$K$10),2)</f>
        <v>100.31</v>
      </c>
      <c r="J90" s="106"/>
      <c r="K90" s="134"/>
      <c r="L90" s="137">
        <v>100.31</v>
      </c>
      <c r="M90" s="11"/>
    </row>
    <row r="91" spans="1:17" s="132" customFormat="1" ht="56.25" x14ac:dyDescent="0.25">
      <c r="A91" s="109" t="s">
        <v>326</v>
      </c>
      <c r="B91" s="109" t="s">
        <v>245</v>
      </c>
      <c r="C91" s="109" t="s">
        <v>238</v>
      </c>
      <c r="D91" s="5" t="s">
        <v>125</v>
      </c>
      <c r="E91" s="158">
        <v>1</v>
      </c>
      <c r="F91" s="158">
        <f t="shared" ref="F91:F93" si="10">ROUND(I91,2)</f>
        <v>537.62</v>
      </c>
      <c r="G91" s="6">
        <f t="shared" si="8"/>
        <v>537.62</v>
      </c>
      <c r="I91" s="7">
        <f t="shared" si="9"/>
        <v>537.62</v>
      </c>
      <c r="J91" s="106"/>
      <c r="K91" s="134"/>
      <c r="L91" s="137">
        <v>537.62</v>
      </c>
      <c r="M91" s="11"/>
    </row>
    <row r="92" spans="1:17" s="132" customFormat="1" ht="45" x14ac:dyDescent="0.25">
      <c r="A92" s="109" t="s">
        <v>327</v>
      </c>
      <c r="B92" s="109" t="s">
        <v>246</v>
      </c>
      <c r="C92" s="109" t="s">
        <v>239</v>
      </c>
      <c r="D92" s="5" t="s">
        <v>240</v>
      </c>
      <c r="E92" s="158">
        <v>4</v>
      </c>
      <c r="F92" s="158">
        <f t="shared" si="10"/>
        <v>817.56</v>
      </c>
      <c r="G92" s="6">
        <f t="shared" si="8"/>
        <v>3270.24</v>
      </c>
      <c r="I92" s="7">
        <f t="shared" si="9"/>
        <v>817.56</v>
      </c>
      <c r="J92" s="106"/>
      <c r="K92" s="134"/>
      <c r="L92" s="137">
        <v>817.56</v>
      </c>
      <c r="M92" s="11"/>
    </row>
    <row r="93" spans="1:17" s="132" customFormat="1" ht="20.25" x14ac:dyDescent="0.25">
      <c r="A93" s="109" t="s">
        <v>328</v>
      </c>
      <c r="B93" s="109" t="s">
        <v>247</v>
      </c>
      <c r="C93" s="109" t="s">
        <v>241</v>
      </c>
      <c r="D93" s="5" t="s">
        <v>216</v>
      </c>
      <c r="E93" s="158">
        <v>5.04</v>
      </c>
      <c r="F93" s="158">
        <f t="shared" si="10"/>
        <v>365.91</v>
      </c>
      <c r="G93" s="6">
        <f t="shared" si="8"/>
        <v>1844.19</v>
      </c>
      <c r="I93" s="7">
        <f t="shared" si="9"/>
        <v>365.91</v>
      </c>
      <c r="J93" s="106"/>
      <c r="K93" s="134"/>
      <c r="L93" s="137">
        <v>365.91</v>
      </c>
      <c r="M93" s="11"/>
    </row>
    <row r="94" spans="1:17" s="132" customFormat="1" ht="20.25" x14ac:dyDescent="0.25">
      <c r="A94" s="129">
        <v>11</v>
      </c>
      <c r="B94" s="129"/>
      <c r="C94" s="129" t="s">
        <v>249</v>
      </c>
      <c r="D94" s="5"/>
      <c r="E94" s="158"/>
      <c r="F94" s="158"/>
      <c r="G94" s="131">
        <f>SUM(G95:G98)</f>
        <v>11463.480000000001</v>
      </c>
      <c r="I94" s="7"/>
      <c r="J94" s="106"/>
      <c r="K94" s="134"/>
      <c r="L94" s="137"/>
      <c r="M94" s="11"/>
    </row>
    <row r="95" spans="1:17" s="132" customFormat="1" ht="22.5" x14ac:dyDescent="0.25">
      <c r="A95" s="109" t="s">
        <v>329</v>
      </c>
      <c r="B95" s="109" t="s">
        <v>250</v>
      </c>
      <c r="C95" s="109" t="s">
        <v>251</v>
      </c>
      <c r="D95" s="5" t="s">
        <v>119</v>
      </c>
      <c r="E95" s="158">
        <v>199.95</v>
      </c>
      <c r="F95" s="158">
        <f>ROUND(I95,2)</f>
        <v>12.84</v>
      </c>
      <c r="G95" s="6">
        <f t="shared" si="8"/>
        <v>2567.36</v>
      </c>
      <c r="I95" s="7">
        <f t="shared" si="9"/>
        <v>12.84</v>
      </c>
      <c r="J95" s="106"/>
      <c r="K95" s="134"/>
      <c r="L95" s="137">
        <v>12.84</v>
      </c>
      <c r="M95" s="11"/>
    </row>
    <row r="96" spans="1:17" s="132" customFormat="1" ht="22.5" x14ac:dyDescent="0.25">
      <c r="A96" s="109" t="s">
        <v>330</v>
      </c>
      <c r="B96" s="109" t="s">
        <v>252</v>
      </c>
      <c r="C96" s="109" t="s">
        <v>253</v>
      </c>
      <c r="D96" s="5" t="s">
        <v>119</v>
      </c>
      <c r="E96" s="158">
        <v>408.14</v>
      </c>
      <c r="F96" s="158">
        <f>ROUND(I96,2)</f>
        <v>15.18</v>
      </c>
      <c r="G96" s="6">
        <f t="shared" si="8"/>
        <v>6195.57</v>
      </c>
      <c r="I96" s="7">
        <f t="shared" si="9"/>
        <v>15.18</v>
      </c>
      <c r="J96" s="106"/>
      <c r="K96" s="134"/>
      <c r="L96" s="137">
        <v>15.18</v>
      </c>
      <c r="M96" s="11"/>
    </row>
    <row r="97" spans="1:13" s="132" customFormat="1" ht="22.5" x14ac:dyDescent="0.25">
      <c r="A97" s="109" t="s">
        <v>331</v>
      </c>
      <c r="B97" s="109" t="s">
        <v>254</v>
      </c>
      <c r="C97" s="109" t="s">
        <v>255</v>
      </c>
      <c r="D97" s="5" t="s">
        <v>119</v>
      </c>
      <c r="E97" s="158">
        <v>78.16</v>
      </c>
      <c r="F97" s="158">
        <f>ROUND(I97,2)</f>
        <v>17.36</v>
      </c>
      <c r="G97" s="6">
        <f t="shared" si="8"/>
        <v>1356.86</v>
      </c>
      <c r="I97" s="7">
        <f t="shared" si="9"/>
        <v>17.36</v>
      </c>
      <c r="J97" s="106"/>
      <c r="K97" s="134"/>
      <c r="L97" s="137">
        <v>17.36</v>
      </c>
      <c r="M97" s="11"/>
    </row>
    <row r="98" spans="1:13" s="132" customFormat="1" ht="20.25" x14ac:dyDescent="0.25">
      <c r="A98" s="109" t="s">
        <v>332</v>
      </c>
      <c r="B98" s="109" t="s">
        <v>256</v>
      </c>
      <c r="C98" s="109" t="s">
        <v>257</v>
      </c>
      <c r="D98" s="5" t="s">
        <v>119</v>
      </c>
      <c r="E98" s="158">
        <v>59.64</v>
      </c>
      <c r="F98" s="158">
        <f>ROUND(I98,2)</f>
        <v>22.53</v>
      </c>
      <c r="G98" s="6">
        <f t="shared" si="8"/>
        <v>1343.69</v>
      </c>
      <c r="I98" s="7">
        <f t="shared" si="9"/>
        <v>22.53</v>
      </c>
      <c r="J98" s="106"/>
      <c r="K98" s="134"/>
      <c r="L98" s="137">
        <v>22.53</v>
      </c>
      <c r="M98" s="11"/>
    </row>
    <row r="99" spans="1:13" s="132" customFormat="1" ht="20.25" x14ac:dyDescent="0.25">
      <c r="A99" s="129">
        <v>12</v>
      </c>
      <c r="B99" s="129"/>
      <c r="C99" s="129" t="s">
        <v>258</v>
      </c>
      <c r="D99" s="5"/>
      <c r="E99" s="158"/>
      <c r="F99" s="158"/>
      <c r="G99" s="131">
        <f>SUM(G100,G103)</f>
        <v>9363.7899999999991</v>
      </c>
      <c r="I99" s="7"/>
      <c r="J99" s="106"/>
      <c r="K99" s="134"/>
      <c r="L99" s="137"/>
      <c r="M99" s="11"/>
    </row>
    <row r="100" spans="1:13" s="132" customFormat="1" ht="20.25" x14ac:dyDescent="0.25">
      <c r="A100" s="129" t="s">
        <v>333</v>
      </c>
      <c r="B100" s="129"/>
      <c r="C100" s="129" t="s">
        <v>259</v>
      </c>
      <c r="D100" s="5"/>
      <c r="E100" s="158"/>
      <c r="F100" s="158"/>
      <c r="G100" s="131">
        <f>SUM(G101:G102)</f>
        <v>8254.5499999999993</v>
      </c>
      <c r="I100" s="7"/>
      <c r="J100" s="106"/>
      <c r="K100" s="134"/>
      <c r="L100" s="137"/>
      <c r="M100" s="11"/>
    </row>
    <row r="101" spans="1:13" s="132" customFormat="1" ht="22.5" x14ac:dyDescent="0.25">
      <c r="A101" s="109" t="s">
        <v>334</v>
      </c>
      <c r="B101" s="109" t="s">
        <v>260</v>
      </c>
      <c r="C101" s="109" t="s">
        <v>261</v>
      </c>
      <c r="D101" s="5" t="s">
        <v>119</v>
      </c>
      <c r="E101" s="158">
        <v>208.81</v>
      </c>
      <c r="F101" s="158">
        <f>ROUND(I101,2)</f>
        <v>15.73</v>
      </c>
      <c r="G101" s="6">
        <f t="shared" ref="G101:G104" si="11">ROUND(F101*E101,2)</f>
        <v>3284.58</v>
      </c>
      <c r="I101" s="7">
        <f t="shared" si="9"/>
        <v>15.73</v>
      </c>
      <c r="J101" s="106"/>
      <c r="K101" s="134"/>
      <c r="L101" s="137">
        <v>15.73</v>
      </c>
      <c r="M101" s="11"/>
    </row>
    <row r="102" spans="1:13" s="132" customFormat="1" ht="22.5" x14ac:dyDescent="0.25">
      <c r="A102" s="109" t="s">
        <v>335</v>
      </c>
      <c r="B102" s="109" t="s">
        <v>88</v>
      </c>
      <c r="C102" s="109" t="s">
        <v>262</v>
      </c>
      <c r="D102" s="5" t="s">
        <v>119</v>
      </c>
      <c r="E102" s="158">
        <v>289.12</v>
      </c>
      <c r="F102" s="158">
        <f>ROUND(I102,2)</f>
        <v>17.190000000000001</v>
      </c>
      <c r="G102" s="6">
        <f t="shared" si="11"/>
        <v>4969.97</v>
      </c>
      <c r="I102" s="7">
        <f t="shared" si="9"/>
        <v>17.190000000000001</v>
      </c>
      <c r="J102" s="106"/>
      <c r="K102" s="134"/>
      <c r="L102" s="137">
        <v>17.190000000000001</v>
      </c>
      <c r="M102" s="11"/>
    </row>
    <row r="103" spans="1:13" s="132" customFormat="1" ht="20.25" x14ac:dyDescent="0.25">
      <c r="A103" s="129" t="s">
        <v>336</v>
      </c>
      <c r="B103" s="129"/>
      <c r="C103" s="129" t="s">
        <v>263</v>
      </c>
      <c r="D103" s="5"/>
      <c r="E103" s="158"/>
      <c r="F103" s="158"/>
      <c r="G103" s="131">
        <f>SUM(G104)</f>
        <v>1109.24</v>
      </c>
      <c r="I103" s="7"/>
      <c r="J103" s="106"/>
      <c r="K103" s="134"/>
      <c r="L103" s="137"/>
      <c r="M103" s="11"/>
    </row>
    <row r="104" spans="1:13" s="132" customFormat="1" ht="20.25" x14ac:dyDescent="0.25">
      <c r="A104" s="109" t="s">
        <v>337</v>
      </c>
      <c r="B104" s="109" t="s">
        <v>264</v>
      </c>
      <c r="C104" s="109" t="s">
        <v>265</v>
      </c>
      <c r="D104" s="5" t="s">
        <v>119</v>
      </c>
      <c r="E104" s="158">
        <v>17.68</v>
      </c>
      <c r="F104" s="158">
        <f>ROUND(I104,2)</f>
        <v>62.74</v>
      </c>
      <c r="G104" s="6">
        <f t="shared" si="11"/>
        <v>1109.24</v>
      </c>
      <c r="I104" s="7">
        <f t="shared" si="9"/>
        <v>62.74</v>
      </c>
      <c r="J104" s="106"/>
      <c r="K104" s="134"/>
      <c r="L104" s="137">
        <v>62.74</v>
      </c>
      <c r="M104" s="11"/>
    </row>
    <row r="105" spans="1:13" x14ac:dyDescent="0.25">
      <c r="A105" s="165" t="s">
        <v>4</v>
      </c>
      <c r="B105" s="165"/>
      <c r="C105" s="165"/>
      <c r="D105" s="165"/>
      <c r="E105" s="165"/>
      <c r="F105" s="165"/>
      <c r="G105" s="8">
        <f>G12+G24+G29+G34+G47+G56+G61+G70+G82+G88+G94+G99</f>
        <v>82001.819999999992</v>
      </c>
    </row>
    <row r="106" spans="1:13" x14ac:dyDescent="0.25">
      <c r="A106" s="31"/>
      <c r="B106" s="31"/>
      <c r="C106" s="31"/>
      <c r="D106" s="31"/>
      <c r="E106" s="31"/>
      <c r="F106" s="31"/>
      <c r="G106" s="31"/>
    </row>
    <row r="107" spans="1:13" x14ac:dyDescent="0.25">
      <c r="A107" s="31"/>
      <c r="B107" s="31"/>
      <c r="C107" s="31"/>
      <c r="D107" s="31"/>
      <c r="E107" s="31"/>
      <c r="F107" s="31"/>
      <c r="G107" s="31"/>
    </row>
    <row r="108" spans="1:13" x14ac:dyDescent="0.25">
      <c r="A108" s="31"/>
      <c r="B108" s="31"/>
      <c r="C108" s="31"/>
      <c r="D108" s="31"/>
      <c r="E108" s="31"/>
      <c r="F108" s="31"/>
      <c r="G108" s="31"/>
    </row>
    <row r="109" spans="1:13" x14ac:dyDescent="0.25">
      <c r="A109" s="31"/>
      <c r="B109" s="31"/>
      <c r="C109" s="31"/>
      <c r="D109" s="31"/>
      <c r="E109" s="31"/>
      <c r="F109" s="31"/>
      <c r="G109" s="31"/>
    </row>
    <row r="110" spans="1:13" x14ac:dyDescent="0.25">
      <c r="A110" s="31"/>
      <c r="B110" s="31"/>
      <c r="C110" s="31"/>
      <c r="D110" s="31"/>
      <c r="E110" s="31"/>
      <c r="F110" s="31"/>
      <c r="G110" s="31"/>
    </row>
    <row r="111" spans="1:13" x14ac:dyDescent="0.25">
      <c r="A111" s="31"/>
      <c r="B111" s="31"/>
      <c r="C111" s="31"/>
      <c r="D111" s="31"/>
      <c r="E111" s="31"/>
      <c r="F111" s="31"/>
      <c r="G111" s="31"/>
    </row>
    <row r="112" spans="1:13" x14ac:dyDescent="0.25">
      <c r="A112" s="31"/>
      <c r="B112" s="31"/>
      <c r="C112" s="31"/>
      <c r="D112" s="31"/>
      <c r="E112" s="31"/>
      <c r="F112" s="31"/>
      <c r="G112" s="31"/>
    </row>
    <row r="113" spans="1:7" x14ac:dyDescent="0.25">
      <c r="A113" s="31"/>
      <c r="B113" s="31"/>
      <c r="C113" s="31"/>
      <c r="D113" s="31"/>
      <c r="E113" s="31"/>
      <c r="F113" s="31"/>
      <c r="G113" s="31"/>
    </row>
  </sheetData>
  <sheetProtection password="EDAF" sheet="1" objects="1" scenarios="1" selectLockedCells="1"/>
  <mergeCells count="6">
    <mergeCell ref="A105:F105"/>
    <mergeCell ref="A7:G7"/>
    <mergeCell ref="K1:K9"/>
    <mergeCell ref="I2:I6"/>
    <mergeCell ref="A8:G8"/>
    <mergeCell ref="A9:G9"/>
  </mergeCells>
  <phoneticPr fontId="37" type="noConversion"/>
  <conditionalFormatting sqref="C11:C22 D13:E13 C58:D58 C59:C63 D60:D63 C28 D14:D22 C77:D80 D81 E14:F104">
    <cfRule type="expression" dxfId="25" priority="36" stopIfTrue="1">
      <formula>$B11=$BD11</formula>
    </cfRule>
  </conditionalFormatting>
  <conditionalFormatting sqref="C23:C27 D24:D27 C56:D57">
    <cfRule type="expression" dxfId="24" priority="32" stopIfTrue="1">
      <formula>$B23=$BD23</formula>
    </cfRule>
  </conditionalFormatting>
  <conditionalFormatting sqref="C44:D46">
    <cfRule type="expression" dxfId="23" priority="31" stopIfTrue="1">
      <formula>$B44=$BD44</formula>
    </cfRule>
  </conditionalFormatting>
  <conditionalFormatting sqref="C34:D36">
    <cfRule type="expression" dxfId="22" priority="29" stopIfTrue="1">
      <formula>$B34=$BD34</formula>
    </cfRule>
  </conditionalFormatting>
  <conditionalFormatting sqref="C37:C41 D38:D41">
    <cfRule type="expression" dxfId="21" priority="28" stopIfTrue="1">
      <formula>$B37=$BD37</formula>
    </cfRule>
  </conditionalFormatting>
  <conditionalFormatting sqref="C42:C43">
    <cfRule type="expression" dxfId="20" priority="27" stopIfTrue="1">
      <formula>$B42=$BD42</formula>
    </cfRule>
  </conditionalFormatting>
  <conditionalFormatting sqref="C70:D71 C73:D73 C75:D76 D74">
    <cfRule type="expression" dxfId="19" priority="24" stopIfTrue="1">
      <formula>$B70=$BD70</formula>
    </cfRule>
  </conditionalFormatting>
  <conditionalFormatting sqref="C64:D67">
    <cfRule type="expression" dxfId="18" priority="22" stopIfTrue="1">
      <formula>$B64=$BD64</formula>
    </cfRule>
  </conditionalFormatting>
  <conditionalFormatting sqref="C68:C69">
    <cfRule type="expression" dxfId="17" priority="21" stopIfTrue="1">
      <formula>$B68=$BD68</formula>
    </cfRule>
  </conditionalFormatting>
  <conditionalFormatting sqref="C72:D72">
    <cfRule type="expression" dxfId="16" priority="20" stopIfTrue="1">
      <formula>$B72=$BD72</formula>
    </cfRule>
  </conditionalFormatting>
  <conditionalFormatting sqref="D29 C30:D33 C82:D104">
    <cfRule type="expression" dxfId="15" priority="19" stopIfTrue="1">
      <formula>$B29=#REF!</formula>
    </cfRule>
  </conditionalFormatting>
  <conditionalFormatting sqref="C29">
    <cfRule type="expression" dxfId="14" priority="18" stopIfTrue="1">
      <formula>$B29=$BD29</formula>
    </cfRule>
  </conditionalFormatting>
  <conditionalFormatting sqref="C47:D55">
    <cfRule type="expression" dxfId="13" priority="17" stopIfTrue="1">
      <formula>$B47=#REF!</formula>
    </cfRule>
  </conditionalFormatting>
  <dataValidations xWindow="923" yWindow="503" count="2">
    <dataValidation allowBlank="1" showInputMessage="1" showErrorMessage="1" prompt="Para Orçamento Proposto, o Preço Unitário é resultado do produto do Custo Unitário pelo BDI._x000a_Para Orçamento Licitado, deve ser preenchido na Coluna AL." sqref="L89:L93 L104 L54" xr:uid="{00000000-0002-0000-0000-000000000000}"/>
    <dataValidation type="decimal" operator="lessThanOrEqual" showInputMessage="1" showErrorMessage="1" errorTitle="VALOR NÃO PERMITIDO" error="INSIRA VALORES MENORES QUE OS VALORE BASES" promptTitle="VALOR PERMITIDO" prompt="INSIRA VALOR MENOR QUE VALOR BASE" sqref="I11:I104" xr:uid="{00000000-0002-0000-0000-000001000000}">
      <formula1>L11</formula1>
    </dataValidation>
  </dataValidations>
  <pageMargins left="0.25" right="0.25" top="0.75" bottom="0.75" header="0.3" footer="0.3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7"/>
  <sheetViews>
    <sheetView topLeftCell="A4" workbookViewId="0">
      <selection activeCell="G24" sqref="G24:H24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8" customWidth="1"/>
    <col min="9" max="11" width="7" bestFit="1" customWidth="1"/>
    <col min="12" max="12" width="6" bestFit="1" customWidth="1"/>
    <col min="13" max="13" width="7" hidden="1" customWidth="1"/>
    <col min="14" max="14" width="6" hidden="1" customWidth="1"/>
    <col min="15" max="15" width="7" hidden="1" customWidth="1"/>
    <col min="16" max="16" width="6" hidden="1" customWidth="1"/>
  </cols>
  <sheetData>
    <row r="1" spans="1:16" ht="141" customHeight="1" x14ac:dyDescent="0.25">
      <c r="A1" s="177"/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</row>
    <row r="2" spans="1:16" ht="15.75" x14ac:dyDescent="0.25">
      <c r="A2" s="184" t="s">
        <v>22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</row>
    <row r="3" spans="1:16" ht="15" x14ac:dyDescent="0.25">
      <c r="A3" s="13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15" x14ac:dyDescent="0.25">
      <c r="A4" s="40" t="str">
        <f>ORÇAMENTO!A7</f>
        <v>OBJETO: REFORMA UBS VISTA ALEGRE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2"/>
    </row>
    <row r="5" spans="1:16" ht="15" x14ac:dyDescent="0.25">
      <c r="A5" s="40" t="str">
        <f>ORÇAMENTO!A8</f>
        <v>LOCALIZAÇÃO: RUA BAHIA- VISTA ALEGRE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2"/>
    </row>
    <row r="6" spans="1:16" ht="15" x14ac:dyDescent="0.25">
      <c r="A6" s="40" t="s">
        <v>23</v>
      </c>
      <c r="B6" s="43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16" ht="15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6"/>
      <c r="L7" s="16"/>
      <c r="M7" s="16"/>
      <c r="N7" s="16"/>
      <c r="O7" s="16"/>
      <c r="P7" s="16"/>
    </row>
    <row r="8" spans="1:16" ht="15" x14ac:dyDescent="0.25">
      <c r="A8" s="180" t="s">
        <v>10</v>
      </c>
      <c r="B8" s="180" t="s">
        <v>24</v>
      </c>
      <c r="C8" s="182" t="s">
        <v>25</v>
      </c>
      <c r="D8" s="33" t="s">
        <v>30</v>
      </c>
      <c r="E8" s="180" t="s">
        <v>11</v>
      </c>
      <c r="F8" s="180"/>
      <c r="G8" s="180" t="s">
        <v>12</v>
      </c>
      <c r="H8" s="180"/>
      <c r="I8" s="180" t="s">
        <v>13</v>
      </c>
      <c r="J8" s="180"/>
      <c r="K8" s="180" t="s">
        <v>14</v>
      </c>
      <c r="L8" s="180"/>
      <c r="M8" s="180" t="s">
        <v>15</v>
      </c>
      <c r="N8" s="180"/>
      <c r="O8" s="180" t="s">
        <v>16</v>
      </c>
      <c r="P8" s="180"/>
    </row>
    <row r="9" spans="1:16" ht="15" x14ac:dyDescent="0.25">
      <c r="A9" s="181"/>
      <c r="B9" s="181"/>
      <c r="C9" s="183"/>
      <c r="D9" s="34" t="s">
        <v>31</v>
      </c>
      <c r="E9" s="17" t="s">
        <v>17</v>
      </c>
      <c r="F9" s="18" t="s">
        <v>18</v>
      </c>
      <c r="G9" s="17" t="s">
        <v>17</v>
      </c>
      <c r="H9" s="18" t="s">
        <v>18</v>
      </c>
      <c r="I9" s="17" t="s">
        <v>17</v>
      </c>
      <c r="J9" s="18" t="s">
        <v>18</v>
      </c>
      <c r="K9" s="17" t="s">
        <v>17</v>
      </c>
      <c r="L9" s="18" t="s">
        <v>18</v>
      </c>
      <c r="M9" s="17" t="s">
        <v>17</v>
      </c>
      <c r="N9" s="18" t="s">
        <v>18</v>
      </c>
      <c r="O9" s="17" t="s">
        <v>17</v>
      </c>
      <c r="P9" s="18" t="s">
        <v>18</v>
      </c>
    </row>
    <row r="10" spans="1:16" ht="15" x14ac:dyDescent="0.25">
      <c r="A10" s="19">
        <v>1</v>
      </c>
      <c r="B10" s="20" t="str">
        <f>ORÇAMENTO!C12</f>
        <v>SERVIÇOS PRELIMINARES</v>
      </c>
      <c r="C10" s="21">
        <f>ORÇAMENTO!G12</f>
        <v>2566.9299999999998</v>
      </c>
      <c r="D10" s="35">
        <f>((C10*100)/$C$23)/100</f>
        <v>3.1303329609025751E-2</v>
      </c>
      <c r="E10" s="22">
        <v>100</v>
      </c>
      <c r="F10" s="21">
        <v>100</v>
      </c>
      <c r="G10" s="22"/>
      <c r="H10" s="21">
        <f>G10+E10</f>
        <v>100</v>
      </c>
      <c r="I10" s="22"/>
      <c r="J10" s="21">
        <f>E10+G10+I10</f>
        <v>100</v>
      </c>
      <c r="K10" s="22"/>
      <c r="L10" s="21"/>
      <c r="M10" s="22"/>
      <c r="N10" s="21"/>
      <c r="O10" s="23"/>
      <c r="P10" s="24"/>
    </row>
    <row r="11" spans="1:16" ht="15" x14ac:dyDescent="0.25">
      <c r="A11" s="19">
        <v>2</v>
      </c>
      <c r="B11" s="20" t="str">
        <f>ORÇAMENTO!C24</f>
        <v>TELHADO</v>
      </c>
      <c r="C11" s="21">
        <f>ORÇAMENTO!G24</f>
        <v>5215.4799999999996</v>
      </c>
      <c r="D11" s="35">
        <f t="shared" ref="D11:D21" si="0">((C11*100)/$C$23)/100</f>
        <v>6.3602002979933861E-2</v>
      </c>
      <c r="E11" s="22">
        <v>100</v>
      </c>
      <c r="F11" s="21">
        <v>100</v>
      </c>
      <c r="G11" s="22"/>
      <c r="H11" s="21"/>
      <c r="I11" s="22"/>
      <c r="J11" s="21"/>
      <c r="K11" s="22"/>
      <c r="L11" s="21"/>
      <c r="M11" s="22"/>
      <c r="N11" s="21"/>
      <c r="O11" s="23"/>
      <c r="P11" s="24"/>
    </row>
    <row r="12" spans="1:16" ht="15" x14ac:dyDescent="0.25">
      <c r="A12" s="19">
        <v>3</v>
      </c>
      <c r="B12" s="20" t="str">
        <f>ORÇAMENTO!C29</f>
        <v>INSTALAÇÕES HIDRÁULICAS</v>
      </c>
      <c r="C12" s="21">
        <f>ORÇAMENTO!G29</f>
        <v>1080.99</v>
      </c>
      <c r="D12" s="35">
        <f t="shared" si="0"/>
        <v>1.3182512290580867E-2</v>
      </c>
      <c r="E12" s="22">
        <v>100</v>
      </c>
      <c r="F12" s="21">
        <v>100</v>
      </c>
      <c r="G12" s="22"/>
      <c r="H12" s="21">
        <f t="shared" ref="H12:H14" si="1">G12+E12</f>
        <v>100</v>
      </c>
      <c r="I12" s="22"/>
      <c r="J12" s="21"/>
      <c r="K12" s="22"/>
      <c r="L12" s="21"/>
      <c r="M12" s="22"/>
      <c r="N12" s="21"/>
      <c r="O12" s="23"/>
      <c r="P12" s="24"/>
    </row>
    <row r="13" spans="1:16" ht="15" x14ac:dyDescent="0.25">
      <c r="A13" s="19">
        <v>4</v>
      </c>
      <c r="B13" s="20" t="str">
        <f>ORÇAMENTO!C34</f>
        <v>INSTALAÇÕES ELÉTRICAS</v>
      </c>
      <c r="C13" s="21">
        <f>ORÇAMENTO!G34</f>
        <v>7795.86</v>
      </c>
      <c r="D13" s="35">
        <f t="shared" si="0"/>
        <v>9.5069353338742973E-2</v>
      </c>
      <c r="E13" s="22">
        <v>100</v>
      </c>
      <c r="F13" s="21">
        <v>100</v>
      </c>
      <c r="G13" s="22"/>
      <c r="H13" s="21">
        <f t="shared" si="1"/>
        <v>100</v>
      </c>
      <c r="I13" s="22"/>
      <c r="J13" s="21"/>
      <c r="K13" s="22"/>
      <c r="L13" s="21"/>
      <c r="M13" s="22"/>
      <c r="N13" s="21"/>
      <c r="O13" s="23"/>
      <c r="P13" s="24"/>
    </row>
    <row r="14" spans="1:16" ht="15" x14ac:dyDescent="0.25">
      <c r="A14" s="19">
        <v>5</v>
      </c>
      <c r="B14" s="20" t="str">
        <f>ORÇAMENTO!C47</f>
        <v>ESQUADRIAS - PORTAS E JANELAS</v>
      </c>
      <c r="C14" s="21">
        <f>ORÇAMENTO!G47</f>
        <v>5985.9099999999989</v>
      </c>
      <c r="D14" s="35">
        <f t="shared" si="0"/>
        <v>7.2997282255442608E-2</v>
      </c>
      <c r="E14" s="22">
        <v>100</v>
      </c>
      <c r="F14" s="21">
        <v>100</v>
      </c>
      <c r="G14" s="22"/>
      <c r="H14" s="21">
        <f t="shared" si="1"/>
        <v>100</v>
      </c>
      <c r="I14" s="22"/>
      <c r="J14" s="21"/>
      <c r="K14" s="101"/>
      <c r="L14" s="102"/>
      <c r="M14" s="101"/>
      <c r="N14" s="102"/>
      <c r="O14" s="103"/>
      <c r="P14" s="104"/>
    </row>
    <row r="15" spans="1:16" ht="15" x14ac:dyDescent="0.25">
      <c r="A15" s="19">
        <v>6</v>
      </c>
      <c r="B15" s="20" t="str">
        <f>ORÇAMENTO!C56</f>
        <v>REVESTIMENTO CERAMICO -PISO E PAREDE</v>
      </c>
      <c r="C15" s="21">
        <f>ORÇAMENTO!G56</f>
        <v>2851.95</v>
      </c>
      <c r="D15" s="35">
        <f t="shared" si="0"/>
        <v>3.4779106122278754E-2</v>
      </c>
      <c r="E15" s="22">
        <v>50</v>
      </c>
      <c r="F15" s="21">
        <f>E15</f>
        <v>50</v>
      </c>
      <c r="G15" s="22">
        <v>50</v>
      </c>
      <c r="H15" s="21">
        <f t="shared" ref="H15" si="2">G15+E15</f>
        <v>100</v>
      </c>
      <c r="I15" s="22"/>
      <c r="J15" s="21"/>
      <c r="K15" s="101"/>
      <c r="L15" s="102"/>
      <c r="M15" s="101"/>
      <c r="N15" s="102"/>
      <c r="O15" s="103"/>
      <c r="P15" s="104"/>
    </row>
    <row r="16" spans="1:16" ht="15" x14ac:dyDescent="0.25">
      <c r="A16" s="19">
        <v>7</v>
      </c>
      <c r="B16" s="20" t="str">
        <f>ORÇAMENTO!C61</f>
        <v>INFRAESTRUTURA - PAVER E CALÇADA</v>
      </c>
      <c r="C16" s="21">
        <f>ORÇAMENTO!G61</f>
        <v>14191.760000000002</v>
      </c>
      <c r="D16" s="35">
        <f t="shared" si="0"/>
        <v>0.1730664026725261</v>
      </c>
      <c r="E16" s="22">
        <v>50</v>
      </c>
      <c r="F16" s="21">
        <f>E16</f>
        <v>50</v>
      </c>
      <c r="G16" s="22">
        <v>50</v>
      </c>
      <c r="H16" s="21">
        <f t="shared" ref="H16:H21" si="3">G16+E16</f>
        <v>100</v>
      </c>
      <c r="I16" s="22"/>
      <c r="J16" s="21"/>
      <c r="K16" s="101"/>
      <c r="L16" s="102"/>
      <c r="M16" s="101"/>
      <c r="N16" s="102"/>
      <c r="O16" s="103"/>
      <c r="P16" s="104"/>
    </row>
    <row r="17" spans="1:16" ht="15" x14ac:dyDescent="0.25">
      <c r="A17" s="19">
        <v>8</v>
      </c>
      <c r="B17" s="20" t="str">
        <f>ORÇAMENTO!C70</f>
        <v>INFRAESTRUTURA - ABRIGO DE GÁS</v>
      </c>
      <c r="C17" s="21">
        <f>ORÇAMENTO!G70</f>
        <v>1359.6499999999999</v>
      </c>
      <c r="D17" s="35">
        <f t="shared" si="0"/>
        <v>1.6580729549661218E-2</v>
      </c>
      <c r="E17" s="22">
        <v>20</v>
      </c>
      <c r="F17" s="21">
        <f>E17</f>
        <v>20</v>
      </c>
      <c r="G17" s="22">
        <v>80</v>
      </c>
      <c r="H17" s="21">
        <f t="shared" si="3"/>
        <v>100</v>
      </c>
      <c r="I17" s="22"/>
      <c r="J17" s="21"/>
      <c r="K17" s="101"/>
      <c r="L17" s="102"/>
      <c r="M17" s="161"/>
      <c r="N17" s="162"/>
      <c r="O17" s="161"/>
      <c r="P17" s="163"/>
    </row>
    <row r="18" spans="1:16" ht="15" x14ac:dyDescent="0.25">
      <c r="A18" s="19">
        <v>9</v>
      </c>
      <c r="B18" s="20" t="str">
        <f>ORÇAMENTO!C82</f>
        <v>ACESSIBILIDADE</v>
      </c>
      <c r="C18" s="21">
        <f>ORÇAMENTO!G82</f>
        <v>12329.31</v>
      </c>
      <c r="D18" s="35">
        <f t="shared" si="0"/>
        <v>0.15035410189676279</v>
      </c>
      <c r="E18" s="22">
        <v>20</v>
      </c>
      <c r="F18" s="21">
        <f>E18</f>
        <v>20</v>
      </c>
      <c r="G18" s="22">
        <v>80</v>
      </c>
      <c r="H18" s="21">
        <f t="shared" si="3"/>
        <v>100</v>
      </c>
      <c r="I18" s="22"/>
      <c r="J18" s="21"/>
      <c r="K18" s="101"/>
      <c r="L18" s="102"/>
      <c r="M18" s="161"/>
      <c r="N18" s="162"/>
      <c r="O18" s="161"/>
      <c r="P18" s="163"/>
    </row>
    <row r="19" spans="1:16" ht="15" x14ac:dyDescent="0.25">
      <c r="A19" s="19">
        <v>10</v>
      </c>
      <c r="B19" s="20" t="str">
        <f>ORÇAMENTO!C88</f>
        <v>INSTALAÇÃO DE PORTAS</v>
      </c>
      <c r="C19" s="21">
        <f>ORÇAMENTO!G88</f>
        <v>7796.7099999999991</v>
      </c>
      <c r="D19" s="35">
        <f t="shared" si="0"/>
        <v>9.5079718962335219E-2</v>
      </c>
      <c r="E19" s="22"/>
      <c r="F19" s="21"/>
      <c r="G19" s="22">
        <v>100</v>
      </c>
      <c r="H19" s="21">
        <f t="shared" si="3"/>
        <v>100</v>
      </c>
      <c r="I19" s="22"/>
      <c r="J19" s="21"/>
      <c r="K19" s="101"/>
      <c r="L19" s="102"/>
      <c r="M19" s="161"/>
      <c r="N19" s="162"/>
      <c r="O19" s="161"/>
      <c r="P19" s="163"/>
    </row>
    <row r="20" spans="1:16" ht="15" x14ac:dyDescent="0.25">
      <c r="A20" s="19">
        <v>11</v>
      </c>
      <c r="B20" s="20" t="str">
        <f>ORÇAMENTO!C94</f>
        <v>PINTURA INTERNA</v>
      </c>
      <c r="C20" s="21">
        <f>ORÇAMENTO!G94</f>
        <v>11463.480000000001</v>
      </c>
      <c r="D20" s="35">
        <f t="shared" si="0"/>
        <v>0.1397954338086643</v>
      </c>
      <c r="E20" s="22"/>
      <c r="F20" s="21"/>
      <c r="G20" s="22">
        <v>100</v>
      </c>
      <c r="H20" s="21">
        <f t="shared" si="3"/>
        <v>100</v>
      </c>
      <c r="I20" s="22"/>
      <c r="J20" s="21"/>
      <c r="K20" s="101"/>
      <c r="L20" s="102"/>
      <c r="M20" s="161"/>
      <c r="N20" s="162"/>
      <c r="O20" s="161"/>
      <c r="P20" s="163"/>
    </row>
    <row r="21" spans="1:16" ht="15" x14ac:dyDescent="0.25">
      <c r="A21" s="164">
        <v>12</v>
      </c>
      <c r="B21" s="20" t="str">
        <f>ORÇAMENTO!C99</f>
        <v>PINTURA EXTERNA</v>
      </c>
      <c r="C21" s="21">
        <f>ORÇAMENTO!G99</f>
        <v>9363.7899999999991</v>
      </c>
      <c r="D21" s="35">
        <f t="shared" si="0"/>
        <v>0.11419002651404567</v>
      </c>
      <c r="E21" s="22"/>
      <c r="F21" s="21"/>
      <c r="G21" s="22">
        <v>100</v>
      </c>
      <c r="H21" s="21">
        <f t="shared" si="3"/>
        <v>100</v>
      </c>
      <c r="I21" s="22"/>
      <c r="J21" s="21"/>
      <c r="K21" s="101"/>
      <c r="L21" s="102"/>
      <c r="M21" s="161"/>
      <c r="N21" s="162"/>
      <c r="O21" s="161"/>
      <c r="P21" s="163"/>
    </row>
    <row r="22" spans="1:16" ht="15" x14ac:dyDescent="0.25">
      <c r="A22" s="25"/>
      <c r="B22" s="26" t="s">
        <v>26</v>
      </c>
      <c r="C22" s="28"/>
      <c r="D22" s="36">
        <f>SUM(D10:D21)</f>
        <v>1.0000000000000002</v>
      </c>
      <c r="E22" s="37">
        <f>((D10*E10)/100)+((D11*E11)/100)+((D12*E12)/100)+((D13*E13)/100)+((D14*E14)/100)+((D15*E15)/100)+((D16*E16)/100)+((D17*E17)/100)+((D18*E18)/100)</f>
        <v>0.41346420116041321</v>
      </c>
      <c r="F22" s="37">
        <f>E22</f>
        <v>0.41346420116041321</v>
      </c>
      <c r="G22" s="37">
        <f>((D10*G10)/100)+((D11*G11)/100)+((D12*G12)/100)+((D13*G13)/100)+((D14*G14)/100)+((D15*G15)/100)+((D16*G16)/100)+((D17*G17)/100)+((D18*G18)/100)+((D19*G19)/100)+((D20*G20)/100)+((D21*G21)/100)</f>
        <v>0.58653579883958684</v>
      </c>
      <c r="H22" s="37">
        <f>E22+G22</f>
        <v>1</v>
      </c>
      <c r="I22" s="37"/>
      <c r="J22" s="37"/>
      <c r="K22" s="37"/>
      <c r="L22" s="37"/>
      <c r="M22" s="28"/>
      <c r="N22" s="105"/>
      <c r="O22" s="28"/>
      <c r="P22" s="28"/>
    </row>
    <row r="23" spans="1:16" ht="15" x14ac:dyDescent="0.25">
      <c r="A23" s="29"/>
      <c r="B23" s="30" t="s">
        <v>27</v>
      </c>
      <c r="C23" s="28">
        <f>SUM(C10:C21)</f>
        <v>82001.819999999992</v>
      </c>
      <c r="D23" s="36">
        <f>D22</f>
        <v>1.0000000000000002</v>
      </c>
      <c r="E23" s="179">
        <f>(C23*E22)</f>
        <v>33904.816999999995</v>
      </c>
      <c r="F23" s="179"/>
      <c r="G23" s="179">
        <f>(C23*G22)</f>
        <v>48097.003000000004</v>
      </c>
      <c r="H23" s="179"/>
      <c r="I23" s="179"/>
      <c r="J23" s="179"/>
      <c r="K23" s="179"/>
      <c r="L23" s="179"/>
      <c r="M23" s="179"/>
      <c r="N23" s="179"/>
      <c r="O23" s="179"/>
      <c r="P23" s="179"/>
    </row>
    <row r="24" spans="1:16" ht="15" x14ac:dyDescent="0.25">
      <c r="A24" s="38"/>
      <c r="B24" s="39" t="s">
        <v>28</v>
      </c>
      <c r="C24" s="27"/>
      <c r="D24" s="27"/>
      <c r="E24" s="179">
        <f>E23</f>
        <v>33904.816999999995</v>
      </c>
      <c r="F24" s="179"/>
      <c r="G24" s="179">
        <f>G23+E24</f>
        <v>82001.820000000007</v>
      </c>
      <c r="H24" s="179"/>
      <c r="I24" s="179"/>
      <c r="J24" s="179"/>
      <c r="K24" s="179"/>
      <c r="L24" s="179"/>
      <c r="M24" s="179"/>
      <c r="N24" s="179"/>
      <c r="O24" s="179"/>
      <c r="P24" s="179"/>
    </row>
    <row r="25" spans="1:16" ht="15" x14ac:dyDescent="0.25"/>
    <row r="26" spans="1:16" ht="15" x14ac:dyDescent="0.25">
      <c r="A26" s="178"/>
      <c r="B26" s="178"/>
      <c r="D26" s="178"/>
      <c r="E26" s="178"/>
      <c r="F26" s="178"/>
      <c r="G26" s="178"/>
      <c r="H26" s="178"/>
      <c r="I26" s="178"/>
      <c r="J26" s="178"/>
    </row>
    <row r="27" spans="1:16" ht="15" x14ac:dyDescent="0.25">
      <c r="A27" t="s">
        <v>32</v>
      </c>
      <c r="D27" t="s">
        <v>33</v>
      </c>
    </row>
    <row r="28" spans="1:16" ht="15" x14ac:dyDescent="0.25"/>
    <row r="29" spans="1:16" ht="15" x14ac:dyDescent="0.25"/>
    <row r="30" spans="1:16" ht="15" x14ac:dyDescent="0.25"/>
    <row r="31" spans="1:16" ht="15" x14ac:dyDescent="0.25"/>
    <row r="32" spans="1:16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</sheetData>
  <mergeCells count="25">
    <mergeCell ref="K24:L24"/>
    <mergeCell ref="M24:N24"/>
    <mergeCell ref="A2:P2"/>
    <mergeCell ref="E23:F23"/>
    <mergeCell ref="G23:H23"/>
    <mergeCell ref="I23:J23"/>
    <mergeCell ref="K23:L23"/>
    <mergeCell ref="M23:N23"/>
    <mergeCell ref="O23:P23"/>
    <mergeCell ref="A1:P1"/>
    <mergeCell ref="A26:B26"/>
    <mergeCell ref="D26:J26"/>
    <mergeCell ref="O24:P24"/>
    <mergeCell ref="M8:N8"/>
    <mergeCell ref="O8:P8"/>
    <mergeCell ref="K8:L8"/>
    <mergeCell ref="A8:A9"/>
    <mergeCell ref="E8:F8"/>
    <mergeCell ref="G8:H8"/>
    <mergeCell ref="I8:J8"/>
    <mergeCell ref="B8:B9"/>
    <mergeCell ref="C8:C9"/>
    <mergeCell ref="E24:F24"/>
    <mergeCell ref="G24:H24"/>
    <mergeCell ref="I24:J24"/>
  </mergeCells>
  <conditionalFormatting sqref="N22 P22 J10:J14 L10:L14 P10:P14 N10:N14 H10:H14 F10:F12 F14">
    <cfRule type="cellIs" dxfId="12" priority="16" stopIfTrue="1" operator="equal">
      <formula>D10+F10-100</formula>
    </cfRule>
  </conditionalFormatting>
  <conditionalFormatting sqref="M24:P24">
    <cfRule type="expression" dxfId="11" priority="28" stopIfTrue="1">
      <formula>#REF!=0</formula>
    </cfRule>
  </conditionalFormatting>
  <conditionalFormatting sqref="P16:P21 N16:N21">
    <cfRule type="cellIs" dxfId="10" priority="11" stopIfTrue="1" operator="equal">
      <formula>L16+N16-100</formula>
    </cfRule>
  </conditionalFormatting>
  <conditionalFormatting sqref="J15 L15 P15 N15 H15 F15">
    <cfRule type="cellIs" dxfId="9" priority="10" stopIfTrue="1" operator="equal">
      <formula>D15+F15-100</formula>
    </cfRule>
  </conditionalFormatting>
  <conditionalFormatting sqref="J16:J21 L16:L21 F17:F21">
    <cfRule type="cellIs" dxfId="8" priority="9" stopIfTrue="1" operator="equal">
      <formula>D16+F16-100</formula>
    </cfRule>
  </conditionalFormatting>
  <conditionalFormatting sqref="F13">
    <cfRule type="cellIs" dxfId="7" priority="8" stopIfTrue="1" operator="equal">
      <formula>D13+F13-100</formula>
    </cfRule>
  </conditionalFormatting>
  <conditionalFormatting sqref="F16">
    <cfRule type="cellIs" dxfId="6" priority="7" stopIfTrue="1" operator="equal">
      <formula>D16+F16-100</formula>
    </cfRule>
  </conditionalFormatting>
  <conditionalFormatting sqref="H16">
    <cfRule type="cellIs" dxfId="5" priority="6" stopIfTrue="1" operator="equal">
      <formula>F16+H16-100</formula>
    </cfRule>
  </conditionalFormatting>
  <conditionalFormatting sqref="H17">
    <cfRule type="cellIs" dxfId="4" priority="5" stopIfTrue="1" operator="equal">
      <formula>F17+H17-100</formula>
    </cfRule>
  </conditionalFormatting>
  <conditionalFormatting sqref="H18">
    <cfRule type="cellIs" dxfId="3" priority="4" stopIfTrue="1" operator="equal">
      <formula>F18+H18-100</formula>
    </cfRule>
  </conditionalFormatting>
  <conditionalFormatting sqref="H19">
    <cfRule type="cellIs" dxfId="2" priority="3" stopIfTrue="1" operator="equal">
      <formula>F19+H19-100</formula>
    </cfRule>
  </conditionalFormatting>
  <conditionalFormatting sqref="H20">
    <cfRule type="cellIs" dxfId="1" priority="2" stopIfTrue="1" operator="equal">
      <formula>F20+H20-100</formula>
    </cfRule>
  </conditionalFormatting>
  <conditionalFormatting sqref="H21">
    <cfRule type="cellIs" dxfId="0" priority="1" stopIfTrue="1" operator="equal">
      <formula>F21+H21-100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topLeftCell="A13" workbookViewId="0">
      <selection activeCell="B27" sqref="B27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128"/>
      <c r="B1" s="128"/>
      <c r="C1" s="128"/>
      <c r="D1" s="128"/>
      <c r="E1" s="128"/>
    </row>
    <row r="2" spans="1:5" x14ac:dyDescent="0.25">
      <c r="A2" s="128"/>
      <c r="B2" s="128"/>
      <c r="C2" s="128"/>
      <c r="D2" s="128"/>
      <c r="E2" s="128"/>
    </row>
    <row r="3" spans="1:5" x14ac:dyDescent="0.25">
      <c r="A3" s="128"/>
      <c r="B3" s="128"/>
      <c r="C3" s="128"/>
      <c r="D3" s="128"/>
      <c r="E3" s="128"/>
    </row>
    <row r="4" spans="1:5" x14ac:dyDescent="0.25">
      <c r="A4" s="128"/>
      <c r="B4" s="128"/>
      <c r="C4" s="128"/>
      <c r="D4" s="128"/>
      <c r="E4" s="128"/>
    </row>
    <row r="5" spans="1:5" x14ac:dyDescent="0.25">
      <c r="A5" s="128"/>
      <c r="B5" s="128"/>
      <c r="C5" s="128"/>
      <c r="D5" s="128"/>
      <c r="E5" s="128"/>
    </row>
    <row r="6" spans="1:5" x14ac:dyDescent="0.25">
      <c r="A6" s="128"/>
      <c r="B6" s="128"/>
      <c r="C6" s="128"/>
      <c r="D6" s="128"/>
      <c r="E6" s="128"/>
    </row>
    <row r="7" spans="1:5" x14ac:dyDescent="0.25">
      <c r="A7" s="128"/>
      <c r="B7" s="128"/>
      <c r="C7" s="128"/>
      <c r="D7" s="128"/>
      <c r="E7" s="128"/>
    </row>
    <row r="8" spans="1:5" x14ac:dyDescent="0.25">
      <c r="A8" s="191" t="s">
        <v>64</v>
      </c>
      <c r="B8" s="191"/>
      <c r="C8" s="191"/>
      <c r="D8" s="55"/>
      <c r="E8" s="97" t="s">
        <v>65</v>
      </c>
    </row>
    <row r="9" spans="1:5" x14ac:dyDescent="0.25">
      <c r="A9" s="55"/>
      <c r="B9" s="98"/>
      <c r="C9" s="98"/>
      <c r="D9" s="98"/>
      <c r="E9" s="99" t="s">
        <v>66</v>
      </c>
    </row>
    <row r="10" spans="1:5" x14ac:dyDescent="0.25">
      <c r="A10" s="55"/>
      <c r="B10" s="55"/>
      <c r="C10" s="55"/>
      <c r="D10" s="55"/>
      <c r="E10" s="55"/>
    </row>
    <row r="11" spans="1:5" x14ac:dyDescent="0.25">
      <c r="A11" s="108" t="s">
        <v>34</v>
      </c>
      <c r="B11" s="108" t="s">
        <v>70</v>
      </c>
      <c r="C11" s="185" t="s">
        <v>35</v>
      </c>
      <c r="D11" s="186"/>
      <c r="E11" s="187"/>
    </row>
    <row r="12" spans="1:5" x14ac:dyDescent="0.25">
      <c r="A12" s="46"/>
      <c r="B12" s="46"/>
      <c r="C12" s="188" t="str">
        <f>Import.Município</f>
        <v>CORONEL VIVIDA - PR</v>
      </c>
      <c r="D12" s="189"/>
      <c r="E12" s="190"/>
    </row>
    <row r="13" spans="1:5" x14ac:dyDescent="0.25">
      <c r="A13" s="47"/>
      <c r="B13" s="47"/>
      <c r="C13" s="48"/>
      <c r="D13" s="49"/>
      <c r="E13" s="49"/>
    </row>
    <row r="14" spans="1:5" ht="15" customHeight="1" x14ac:dyDescent="0.25">
      <c r="A14" s="100" t="s">
        <v>36</v>
      </c>
      <c r="B14" s="195" t="str">
        <f>ORÇAMENTO!A7</f>
        <v>OBJETO: REFORMA UBS VISTA ALEGRE</v>
      </c>
      <c r="C14" s="197" t="str">
        <f>ORÇAMENTO!A8</f>
        <v>LOCALIZAÇÃO: RUA BAHIA- VISTA ALEGRE</v>
      </c>
      <c r="D14" s="198"/>
      <c r="E14" s="199"/>
    </row>
    <row r="15" spans="1:5" ht="37.5" customHeight="1" x14ac:dyDescent="0.25">
      <c r="A15" s="50" t="s">
        <v>67</v>
      </c>
      <c r="B15" s="196"/>
      <c r="C15" s="200"/>
      <c r="D15" s="201"/>
      <c r="E15" s="202"/>
    </row>
    <row r="16" spans="1:5" x14ac:dyDescent="0.25">
      <c r="A16" s="51"/>
      <c r="B16" s="52"/>
      <c r="C16" s="53"/>
      <c r="D16" s="53"/>
      <c r="E16" s="52"/>
    </row>
    <row r="17" spans="1:12" x14ac:dyDescent="0.25">
      <c r="A17" s="54" t="s">
        <v>37</v>
      </c>
      <c r="B17" s="52"/>
      <c r="C17" s="53"/>
      <c r="D17" s="53"/>
      <c r="E17" s="52"/>
    </row>
    <row r="18" spans="1:12" x14ac:dyDescent="0.25">
      <c r="A18" s="110" t="s">
        <v>71</v>
      </c>
      <c r="B18" s="110"/>
      <c r="C18" s="110"/>
      <c r="D18" s="110"/>
      <c r="E18" s="110"/>
    </row>
    <row r="19" spans="1:12" x14ac:dyDescent="0.25">
      <c r="A19" s="55"/>
      <c r="B19" s="55"/>
      <c r="C19" s="55"/>
      <c r="D19" s="55"/>
      <c r="E19" s="55"/>
    </row>
    <row r="20" spans="1:12" ht="15.75" thickBot="1" x14ac:dyDescent="0.3">
      <c r="A20" s="56" t="s">
        <v>38</v>
      </c>
      <c r="B20" s="57"/>
      <c r="C20" s="57"/>
      <c r="D20" s="58" t="s">
        <v>39</v>
      </c>
      <c r="E20" s="58" t="s">
        <v>40</v>
      </c>
    </row>
    <row r="21" spans="1:12" ht="16.5" thickBot="1" x14ac:dyDescent="0.3">
      <c r="A21" s="59" t="s">
        <v>41</v>
      </c>
      <c r="B21" s="60"/>
      <c r="C21" s="60"/>
      <c r="D21" s="61" t="s">
        <v>42</v>
      </c>
      <c r="E21" s="62">
        <v>3.5000000000000003E-2</v>
      </c>
      <c r="H21" s="203" t="s">
        <v>72</v>
      </c>
      <c r="I21" s="204"/>
      <c r="J21" s="204"/>
      <c r="K21" s="205"/>
    </row>
    <row r="22" spans="1:12" ht="15.75" x14ac:dyDescent="0.25">
      <c r="A22" s="63" t="s">
        <v>43</v>
      </c>
      <c r="B22" s="64"/>
      <c r="C22" s="64"/>
      <c r="D22" s="65" t="s">
        <v>44</v>
      </c>
      <c r="E22" s="66">
        <v>0.01</v>
      </c>
      <c r="H22" s="111" t="s">
        <v>73</v>
      </c>
      <c r="I22" s="112" t="s">
        <v>74</v>
      </c>
      <c r="J22" s="112" t="s">
        <v>75</v>
      </c>
      <c r="K22" s="113" t="s">
        <v>76</v>
      </c>
    </row>
    <row r="23" spans="1:12" ht="15.75" x14ac:dyDescent="0.25">
      <c r="A23" s="63" t="s">
        <v>45</v>
      </c>
      <c r="B23" s="64"/>
      <c r="C23" s="64"/>
      <c r="D23" s="65" t="s">
        <v>46</v>
      </c>
      <c r="E23" s="66">
        <v>1.2699999999999999E-2</v>
      </c>
      <c r="H23" s="114" t="s">
        <v>77</v>
      </c>
      <c r="I23" s="115">
        <v>0.03</v>
      </c>
      <c r="J23" s="116">
        <v>0.04</v>
      </c>
      <c r="K23" s="117">
        <v>5.5E-2</v>
      </c>
    </row>
    <row r="24" spans="1:12" ht="15.75" x14ac:dyDescent="0.25">
      <c r="A24" s="63" t="s">
        <v>47</v>
      </c>
      <c r="B24" s="64"/>
      <c r="C24" s="64"/>
      <c r="D24" s="65" t="s">
        <v>48</v>
      </c>
      <c r="E24" s="66">
        <v>1.23E-2</v>
      </c>
      <c r="H24" s="114" t="s">
        <v>78</v>
      </c>
      <c r="I24" s="118">
        <v>8.0000000000000002E-3</v>
      </c>
      <c r="J24" s="119">
        <v>8.0000000000000002E-3</v>
      </c>
      <c r="K24" s="120">
        <v>0.01</v>
      </c>
    </row>
    <row r="25" spans="1:12" ht="15.75" x14ac:dyDescent="0.25">
      <c r="A25" s="67" t="s">
        <v>49</v>
      </c>
      <c r="B25" s="68"/>
      <c r="C25" s="68"/>
      <c r="D25" s="65" t="s">
        <v>50</v>
      </c>
      <c r="E25" s="69">
        <v>7.8799999999999995E-2</v>
      </c>
      <c r="H25" s="114" t="s">
        <v>79</v>
      </c>
      <c r="I25" s="118">
        <v>9.7000000000000003E-3</v>
      </c>
      <c r="J25" s="119">
        <v>1.2699999999999999E-2</v>
      </c>
      <c r="K25" s="120">
        <v>1.2699999999999999E-2</v>
      </c>
    </row>
    <row r="26" spans="1:12" ht="15.75" x14ac:dyDescent="0.25">
      <c r="A26" s="67" t="s">
        <v>51</v>
      </c>
      <c r="B26" s="70" t="s">
        <v>52</v>
      </c>
      <c r="C26" s="71"/>
      <c r="D26" s="72" t="s">
        <v>53</v>
      </c>
      <c r="E26" s="69">
        <v>6.4999999999999997E-3</v>
      </c>
      <c r="H26" s="114" t="s">
        <v>80</v>
      </c>
      <c r="I26" s="118">
        <v>5.8999999999999999E-3</v>
      </c>
      <c r="J26" s="119">
        <v>1.23E-2</v>
      </c>
      <c r="K26" s="120">
        <v>1.3899999999999999E-2</v>
      </c>
    </row>
    <row r="27" spans="1:12" ht="16.5" thickBot="1" x14ac:dyDescent="0.3">
      <c r="A27" s="73"/>
      <c r="B27" s="70" t="s">
        <v>54</v>
      </c>
      <c r="C27" s="71"/>
      <c r="D27" s="72"/>
      <c r="E27" s="69">
        <v>0.03</v>
      </c>
      <c r="H27" s="114" t="s">
        <v>81</v>
      </c>
      <c r="I27" s="121">
        <v>6.1600000000000002E-2</v>
      </c>
      <c r="J27" s="122">
        <v>7.3999999999999996E-2</v>
      </c>
      <c r="K27" s="123">
        <v>8.9599999999999999E-2</v>
      </c>
    </row>
    <row r="28" spans="1:12" ht="15.75" x14ac:dyDescent="0.25">
      <c r="A28" s="73"/>
      <c r="B28" s="70" t="s">
        <v>55</v>
      </c>
      <c r="C28" s="71"/>
      <c r="D28" s="72"/>
      <c r="E28" s="74">
        <f>IF(A18=" - Fornecimento de Materiais e Equipamentos (Aquisição direta)",0,ROUND(E37*D38,4))</f>
        <v>0.03</v>
      </c>
      <c r="H28" s="206" t="s">
        <v>82</v>
      </c>
      <c r="I28" s="207"/>
      <c r="J28" s="207"/>
      <c r="K28" s="208"/>
      <c r="L28" s="124">
        <v>3.6499999999999998E-2</v>
      </c>
    </row>
    <row r="29" spans="1:12" ht="15.75" x14ac:dyDescent="0.25">
      <c r="A29" s="73"/>
      <c r="B29" s="75" t="s">
        <v>56</v>
      </c>
      <c r="C29" s="77"/>
      <c r="D29" s="72"/>
      <c r="E29" s="78">
        <f>IF([1]Dados!$G$28="SELECIONAR","Ver DADOS",IF(A18=" - Fornecimento de Materiais e Equipamentos (Aquisição direta)",0,IF([1]Dados!$G$28="não desonerado",0%,4.5%)))</f>
        <v>4.4999999999999998E-2</v>
      </c>
      <c r="H29" s="209" t="s">
        <v>83</v>
      </c>
      <c r="I29" s="210"/>
      <c r="J29" s="210"/>
      <c r="K29" s="211"/>
      <c r="L29" s="125">
        <v>0.03</v>
      </c>
    </row>
    <row r="30" spans="1:12" ht="16.5" thickBot="1" x14ac:dyDescent="0.3">
      <c r="A30" s="79" t="s">
        <v>57</v>
      </c>
      <c r="B30" s="79"/>
      <c r="C30" s="79"/>
      <c r="D30" s="79"/>
      <c r="E30" s="80">
        <f>IF(A18=" - Fornecimento de Materiais e Equipamentos (Aquisição direta)",0,ROUND((((1+SUM(E$21:E$23))*(1+E$24)*(1+E$25))/(1-SUM(E$26:E$28)))-1,4))</f>
        <v>0.2374</v>
      </c>
      <c r="H30" s="212" t="s">
        <v>84</v>
      </c>
      <c r="I30" s="213"/>
      <c r="J30" s="213"/>
      <c r="K30" s="214"/>
      <c r="L30" s="126">
        <v>4.4999999999999998E-2</v>
      </c>
    </row>
    <row r="31" spans="1:12" x14ac:dyDescent="0.25">
      <c r="A31" s="81" t="s">
        <v>58</v>
      </c>
      <c r="B31" s="82"/>
      <c r="C31" s="82"/>
      <c r="D31" s="82"/>
      <c r="E31" s="83">
        <f>IF(A18=" - Fornecimento de Materiais e Equipamentos (Aquisição direta)",0,ROUND((((1+SUM(E$21:E$23))*(1+E$24)*(1+E$25))/(1-SUM(E$26:E$29)))-1,4))</f>
        <v>0.3</v>
      </c>
    </row>
    <row r="32" spans="1:12" x14ac:dyDescent="0.25">
      <c r="A32" s="55"/>
      <c r="B32" s="55"/>
      <c r="C32" s="55"/>
      <c r="D32" s="55"/>
      <c r="E32" s="55"/>
    </row>
    <row r="33" spans="1:5" x14ac:dyDescent="0.25">
      <c r="A33" s="55" t="s">
        <v>59</v>
      </c>
      <c r="B33" s="55"/>
      <c r="C33" s="55"/>
      <c r="D33" s="55"/>
      <c r="E33" s="55"/>
    </row>
    <row r="34" spans="1:5" x14ac:dyDescent="0.25">
      <c r="A34" s="55"/>
      <c r="B34" s="55"/>
      <c r="C34" s="55"/>
      <c r="D34" s="55"/>
      <c r="E34" s="55"/>
    </row>
    <row r="35" spans="1:5" x14ac:dyDescent="0.25">
      <c r="A35" s="192" t="str">
        <f>IF(AND(A18=" - Fornecimento de Materiais e Equipamentos (Aquisição direta)",E$31=0),"",IF(OR($R$10&lt;$T$10,$R$10&gt;$U$10)=TRUE(),$T$21,""))</f>
        <v/>
      </c>
      <c r="B35" s="192"/>
      <c r="C35" s="192"/>
      <c r="D35" s="192"/>
      <c r="E35" s="192"/>
    </row>
    <row r="36" spans="1:5" x14ac:dyDescent="0.25">
      <c r="A36" s="84"/>
      <c r="B36" s="84"/>
      <c r="C36" s="84"/>
      <c r="D36" s="84"/>
      <c r="E36" s="84"/>
    </row>
    <row r="37" spans="1:5" ht="15.75" customHeight="1" x14ac:dyDescent="0.25">
      <c r="A37" s="193" t="s">
        <v>60</v>
      </c>
      <c r="B37" s="194"/>
      <c r="C37" s="194"/>
      <c r="D37" s="194"/>
      <c r="E37" s="85">
        <v>0.6</v>
      </c>
    </row>
    <row r="38" spans="1:5" x14ac:dyDescent="0.25">
      <c r="A38" s="193" t="s">
        <v>61</v>
      </c>
      <c r="B38" s="194"/>
      <c r="C38" s="194"/>
      <c r="D38" s="85">
        <v>0.05</v>
      </c>
      <c r="E38" s="84"/>
    </row>
    <row r="39" spans="1:5" x14ac:dyDescent="0.25">
      <c r="A39" s="86"/>
      <c r="B39" s="87"/>
      <c r="C39" s="87"/>
      <c r="D39" s="88"/>
      <c r="E39" s="89"/>
    </row>
    <row r="40" spans="1:5" x14ac:dyDescent="0.25">
      <c r="A40" s="127" t="s">
        <v>62</v>
      </c>
      <c r="B40" s="127"/>
      <c r="C40" s="127"/>
      <c r="D40" s="127"/>
      <c r="E40" s="127"/>
    </row>
    <row r="43" spans="1:5" x14ac:dyDescent="0.25">
      <c r="A43" s="90"/>
      <c r="B43" s="91"/>
      <c r="C43" s="92"/>
      <c r="D43" s="92"/>
      <c r="E43" s="92"/>
    </row>
    <row r="44" spans="1:5" x14ac:dyDescent="0.25">
      <c r="A44" s="76" t="s">
        <v>85</v>
      </c>
      <c r="B44" s="76"/>
      <c r="C44" s="68"/>
      <c r="D44" s="55"/>
      <c r="E44" s="55"/>
    </row>
    <row r="45" spans="1:5" x14ac:dyDescent="0.25">
      <c r="A45" s="128" t="s">
        <v>68</v>
      </c>
      <c r="B45" s="128"/>
      <c r="C45" s="128"/>
      <c r="D45" s="93" t="s">
        <v>63</v>
      </c>
      <c r="E45" s="127" t="s">
        <v>87</v>
      </c>
    </row>
    <row r="46" spans="1:5" x14ac:dyDescent="0.25">
      <c r="A46" s="128" t="s">
        <v>86</v>
      </c>
      <c r="B46" s="128"/>
      <c r="C46" s="128"/>
      <c r="D46" s="94"/>
      <c r="E46" s="94"/>
    </row>
    <row r="47" spans="1:5" x14ac:dyDescent="0.25">
      <c r="A47" s="94"/>
      <c r="B47" s="95"/>
      <c r="C47" s="96"/>
      <c r="D47" s="94"/>
      <c r="E47" s="94"/>
    </row>
  </sheetData>
  <sheetProtection password="EE6F" sheet="1" objects="1" scenarios="1"/>
  <mergeCells count="12">
    <mergeCell ref="A38:C38"/>
    <mergeCell ref="B14:B15"/>
    <mergeCell ref="C14:E15"/>
    <mergeCell ref="H21:K21"/>
    <mergeCell ref="H28:K28"/>
    <mergeCell ref="H29:K29"/>
    <mergeCell ref="H30:K30"/>
    <mergeCell ref="C11:E11"/>
    <mergeCell ref="C12:E12"/>
    <mergeCell ref="A8:C8"/>
    <mergeCell ref="A35:E35"/>
    <mergeCell ref="A37:D37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B18:E18" xr:uid="{00000000-0002-0000-0200-000001000000}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licitacao2</cp:lastModifiedBy>
  <cp:lastPrinted>2020-09-30T19:17:42Z</cp:lastPrinted>
  <dcterms:created xsi:type="dcterms:W3CDTF">2013-05-17T17:26:46Z</dcterms:created>
  <dcterms:modified xsi:type="dcterms:W3CDTF">2020-10-20T14:30:39Z</dcterms:modified>
</cp:coreProperties>
</file>