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escritoriosregionais\cascavel\francisco_beltrao\coronel vivida\sam54_pavimentacao_prior73_PAM\"/>
    </mc:Choice>
  </mc:AlternateContent>
  <xr:revisionPtr revIDLastSave="0" documentId="13_ncr:1_{AF0F69D0-7AE2-41F0-ABB6-5B6C18684291}" xr6:coauthVersionLast="47" xr6:coauthVersionMax="47" xr10:uidLastSave="{00000000-0000-0000-0000-000000000000}"/>
  <bookViews>
    <workbookView xWindow="28680" yWindow="-120" windowWidth="24240" windowHeight="13140" tabRatio="844" firstSheet="6" activeTab="6" xr2:uid="{00000000-000D-0000-FFFF-FFFF00000000}"/>
  </bookViews>
  <sheets>
    <sheet name="LIGANTES" sheetId="21" state="hidden" r:id="rId1"/>
    <sheet name="Prazos e Áreas" sheetId="10" state="hidden" r:id="rId2"/>
    <sheet name="base" sheetId="17" state="hidden" r:id="rId3"/>
    <sheet name="base (2)" sheetId="18" state="hidden" r:id="rId4"/>
    <sheet name="Cronograma SFM" sheetId="20" state="hidden" r:id="rId5"/>
    <sheet name="ENSAIOS DE ORÇAMENTO" sheetId="2" state="hidden" r:id="rId6"/>
    <sheet name="planilha_de_serviços" sheetId="22" r:id="rId7"/>
    <sheet name="viab-praça" sheetId="9" state="hidden" r:id="rId8"/>
    <sheet name="Novos Traços" sheetId="13" state="hidden" r:id="rId9"/>
  </sheets>
  <externalReferences>
    <externalReference r:id="rId10"/>
    <externalReference r:id="rId11"/>
  </externalReferences>
  <definedNames>
    <definedName name="_xlnm._FilterDatabase" localSheetId="6" hidden="1">planilha_de_serviços!$A$6:$H$53</definedName>
    <definedName name="_xlnm.Print_Area" localSheetId="2">base!$B$1:$P$13</definedName>
    <definedName name="_xlnm.Print_Area" localSheetId="3">'base (2)'!$B$1:$P$13</definedName>
    <definedName name="_xlnm.Print_Area" localSheetId="4">'Cronograma SFM'!$B$1:$T$55</definedName>
    <definedName name="_xlnm.Print_Area" localSheetId="5">'ENSAIOS DE ORÇAMENTO'!#REF!</definedName>
    <definedName name="_xlnm.Print_Area" localSheetId="6">planilha_de_serviços!$A$1:$H$52</definedName>
    <definedName name="d" localSheetId="0">[1]proposta!#REF!</definedName>
    <definedName name="d">[1]proposta!#REF!</definedName>
    <definedName name="j" localSheetId="6">planilha_de_serviços!#REF!</definedName>
    <definedName name="j" localSheetId="7">[2]PROPOSTA!#REF!</definedName>
    <definedName name="j">#REF!</definedName>
    <definedName name="_xlnm.Print_Titles" localSheetId="5">'ENSAIOS DE ORÇAMENTO'!#REF!</definedName>
    <definedName name="_xlnm.Print_Titles" localSheetId="6">planilha_de_serviços!$5:$6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3" i="21" l="1"/>
  <c r="M33" i="21"/>
  <c r="L33" i="21"/>
  <c r="K33" i="21"/>
  <c r="H33" i="21"/>
  <c r="I33" i="21" s="1"/>
  <c r="P32" i="21"/>
  <c r="M32" i="21"/>
  <c r="L32" i="21"/>
  <c r="K32" i="21"/>
  <c r="I32" i="21"/>
  <c r="H32" i="21"/>
  <c r="P31" i="21"/>
  <c r="K31" i="21"/>
  <c r="I31" i="21"/>
  <c r="P30" i="21"/>
  <c r="M30" i="21"/>
  <c r="L30" i="21"/>
  <c r="K30" i="21"/>
  <c r="I30" i="21"/>
  <c r="H30" i="21"/>
  <c r="P29" i="21"/>
  <c r="M29" i="21"/>
  <c r="L29" i="21"/>
  <c r="J29" i="21"/>
  <c r="K29" i="21" s="1"/>
  <c r="I29" i="21"/>
  <c r="P28" i="21"/>
  <c r="M28" i="21"/>
  <c r="L28" i="21"/>
  <c r="K28" i="21"/>
  <c r="I28" i="21"/>
  <c r="H28" i="21"/>
  <c r="P27" i="21"/>
  <c r="M27" i="21"/>
  <c r="L27" i="21"/>
  <c r="K27" i="21"/>
  <c r="I27" i="21"/>
  <c r="H27" i="21"/>
  <c r="P26" i="21"/>
  <c r="P25" i="21"/>
  <c r="O25" i="21"/>
  <c r="K25" i="21"/>
  <c r="P24" i="21"/>
  <c r="M24" i="21"/>
  <c r="L24" i="21"/>
  <c r="K24" i="21"/>
  <c r="I24" i="21"/>
  <c r="H24" i="21"/>
  <c r="P23" i="21"/>
  <c r="M23" i="21"/>
  <c r="L23" i="21"/>
  <c r="K23" i="21"/>
  <c r="I23" i="21"/>
  <c r="H23" i="21"/>
  <c r="P22" i="21"/>
  <c r="P21" i="21"/>
  <c r="P20" i="21"/>
  <c r="P19" i="21"/>
  <c r="M19" i="21"/>
  <c r="L19" i="21"/>
  <c r="K19" i="21"/>
  <c r="J19" i="21"/>
  <c r="P18" i="21"/>
  <c r="M18" i="21"/>
  <c r="L18" i="21"/>
  <c r="K18" i="21"/>
  <c r="I18" i="21"/>
  <c r="H18" i="21"/>
  <c r="P17" i="21"/>
  <c r="M17" i="21"/>
  <c r="L17" i="21"/>
  <c r="K17" i="21"/>
  <c r="I17" i="21"/>
  <c r="H17" i="21"/>
  <c r="P16" i="21"/>
  <c r="L16" i="21"/>
  <c r="K16" i="21"/>
  <c r="H16" i="21"/>
  <c r="I16" i="21" s="1"/>
  <c r="G16" i="21"/>
  <c r="P15" i="21"/>
  <c r="M15" i="21"/>
  <c r="L15" i="21"/>
  <c r="J15" i="21"/>
  <c r="K15" i="21" s="1"/>
  <c r="P14" i="21"/>
  <c r="M14" i="21"/>
  <c r="L14" i="21"/>
  <c r="K14" i="21"/>
  <c r="H14" i="21"/>
  <c r="I14" i="21" s="1"/>
  <c r="P13" i="21"/>
  <c r="O13" i="21"/>
  <c r="K13" i="21"/>
  <c r="P12" i="21"/>
  <c r="M12" i="21"/>
  <c r="L12" i="21"/>
  <c r="K12" i="21"/>
  <c r="H12" i="21"/>
  <c r="I12" i="21" s="1"/>
  <c r="G12" i="2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3" i="2"/>
  <c r="S21" i="20" l="1"/>
  <c r="T19" i="20" s="1"/>
  <c r="A19" i="20"/>
  <c r="A18" i="20"/>
  <c r="T17" i="20"/>
  <c r="A17" i="20"/>
  <c r="A16" i="20"/>
  <c r="A15" i="20"/>
  <c r="A14" i="20"/>
  <c r="A13" i="20"/>
  <c r="A12" i="20"/>
  <c r="T11" i="20"/>
  <c r="A11" i="20"/>
  <c r="T10" i="20"/>
  <c r="A10" i="20"/>
  <c r="T9" i="20"/>
  <c r="A9" i="20"/>
  <c r="Q6" i="20"/>
  <c r="Q24" i="20" s="1"/>
  <c r="P6" i="20"/>
  <c r="P18" i="20" s="1"/>
  <c r="P44" i="20" s="1"/>
  <c r="O6" i="20"/>
  <c r="O8" i="20" s="1"/>
  <c r="N6" i="20"/>
  <c r="N15" i="20" s="1"/>
  <c r="M6" i="20"/>
  <c r="M8" i="20" s="1"/>
  <c r="L6" i="20"/>
  <c r="L14" i="20" s="1"/>
  <c r="K6" i="20"/>
  <c r="J6" i="20"/>
  <c r="J24" i="20" s="1"/>
  <c r="I6" i="20"/>
  <c r="I24" i="20" s="1"/>
  <c r="H6" i="20"/>
  <c r="G6" i="20"/>
  <c r="F6" i="20"/>
  <c r="S4" i="20"/>
  <c r="T3" i="20"/>
  <c r="K3" i="20"/>
  <c r="I3" i="20"/>
  <c r="M3" i="20" s="1"/>
  <c r="F7" i="20" s="1"/>
  <c r="F8" i="20" s="1"/>
  <c r="T2" i="20"/>
  <c r="T4" i="20" s="1"/>
  <c r="S129" i="18"/>
  <c r="A129" i="18"/>
  <c r="S128" i="18"/>
  <c r="A128" i="18"/>
  <c r="S127" i="18"/>
  <c r="A127" i="18"/>
  <c r="S126" i="18"/>
  <c r="A126" i="18"/>
  <c r="S125" i="18"/>
  <c r="A125" i="18"/>
  <c r="S124" i="18"/>
  <c r="A124" i="18"/>
  <c r="S123" i="18"/>
  <c r="A123" i="18"/>
  <c r="S122" i="18"/>
  <c r="A122" i="18"/>
  <c r="S121" i="18"/>
  <c r="A121" i="18"/>
  <c r="S120" i="18"/>
  <c r="A120" i="18"/>
  <c r="S119" i="18"/>
  <c r="A119" i="18"/>
  <c r="S116" i="18"/>
  <c r="A116" i="18"/>
  <c r="S115" i="18"/>
  <c r="A115" i="18"/>
  <c r="S114" i="18"/>
  <c r="A114" i="18"/>
  <c r="S113" i="18"/>
  <c r="A113" i="18"/>
  <c r="S112" i="18"/>
  <c r="A112" i="18"/>
  <c r="S111" i="18"/>
  <c r="A111" i="18"/>
  <c r="S110" i="18"/>
  <c r="A110" i="18"/>
  <c r="S109" i="18"/>
  <c r="A109" i="18"/>
  <c r="S108" i="18"/>
  <c r="A108" i="18"/>
  <c r="S107" i="18"/>
  <c r="A107" i="18"/>
  <c r="S106" i="18"/>
  <c r="A106" i="18"/>
  <c r="S103" i="18"/>
  <c r="A103" i="18"/>
  <c r="S102" i="18"/>
  <c r="A102" i="18"/>
  <c r="S101" i="18"/>
  <c r="A101" i="18"/>
  <c r="S100" i="18"/>
  <c r="A100" i="18"/>
  <c r="S99" i="18"/>
  <c r="A99" i="18"/>
  <c r="S98" i="18"/>
  <c r="A98" i="18"/>
  <c r="S97" i="18"/>
  <c r="A97" i="18"/>
  <c r="S96" i="18"/>
  <c r="A96" i="18"/>
  <c r="S95" i="18"/>
  <c r="A95" i="18"/>
  <c r="S94" i="18"/>
  <c r="A94" i="18"/>
  <c r="S93" i="18"/>
  <c r="A93" i="18"/>
  <c r="S90" i="18"/>
  <c r="A90" i="18"/>
  <c r="S89" i="18"/>
  <c r="A89" i="18"/>
  <c r="S88" i="18"/>
  <c r="A88" i="18"/>
  <c r="S87" i="18"/>
  <c r="A87" i="18"/>
  <c r="S86" i="18"/>
  <c r="A86" i="18"/>
  <c r="S85" i="18"/>
  <c r="A85" i="18"/>
  <c r="S84" i="18"/>
  <c r="A84" i="18"/>
  <c r="S83" i="18"/>
  <c r="A83" i="18"/>
  <c r="S82" i="18"/>
  <c r="A82" i="18"/>
  <c r="S81" i="18"/>
  <c r="A81" i="18"/>
  <c r="S80" i="18"/>
  <c r="A80" i="18"/>
  <c r="S77" i="18"/>
  <c r="A77" i="18"/>
  <c r="S76" i="18"/>
  <c r="A76" i="18"/>
  <c r="S75" i="18"/>
  <c r="A75" i="18"/>
  <c r="S74" i="18"/>
  <c r="A74" i="18"/>
  <c r="S73" i="18"/>
  <c r="A73" i="18"/>
  <c r="S72" i="18"/>
  <c r="A72" i="18"/>
  <c r="S71" i="18"/>
  <c r="A71" i="18"/>
  <c r="S70" i="18"/>
  <c r="A70" i="18"/>
  <c r="S69" i="18"/>
  <c r="A69" i="18"/>
  <c r="S68" i="18"/>
  <c r="A68" i="18"/>
  <c r="S67" i="18"/>
  <c r="A67" i="18"/>
  <c r="S64" i="18"/>
  <c r="A64" i="18"/>
  <c r="S63" i="18"/>
  <c r="A63" i="18"/>
  <c r="S62" i="18"/>
  <c r="A62" i="18"/>
  <c r="S61" i="18"/>
  <c r="A61" i="18"/>
  <c r="S60" i="18"/>
  <c r="A60" i="18"/>
  <c r="S59" i="18"/>
  <c r="A59" i="18"/>
  <c r="S58" i="18"/>
  <c r="A58" i="18"/>
  <c r="S57" i="18"/>
  <c r="A57" i="18"/>
  <c r="S56" i="18"/>
  <c r="A56" i="18"/>
  <c r="S55" i="18"/>
  <c r="A55" i="18"/>
  <c r="S54" i="18"/>
  <c r="A54" i="18"/>
  <c r="S51" i="18"/>
  <c r="A51" i="18"/>
  <c r="S50" i="18"/>
  <c r="A50" i="18"/>
  <c r="S49" i="18"/>
  <c r="A49" i="18"/>
  <c r="S48" i="18"/>
  <c r="A48" i="18"/>
  <c r="S47" i="18"/>
  <c r="A47" i="18"/>
  <c r="S46" i="18"/>
  <c r="A46" i="18"/>
  <c r="S45" i="18"/>
  <c r="A45" i="18"/>
  <c r="S44" i="18"/>
  <c r="A44" i="18"/>
  <c r="S43" i="18"/>
  <c r="A43" i="18"/>
  <c r="S42" i="18"/>
  <c r="A42" i="18"/>
  <c r="S41" i="18"/>
  <c r="A41" i="18"/>
  <c r="S38" i="18"/>
  <c r="A38" i="18"/>
  <c r="S37" i="18"/>
  <c r="A37" i="18"/>
  <c r="S36" i="18"/>
  <c r="A36" i="18"/>
  <c r="S35" i="18"/>
  <c r="A35" i="18"/>
  <c r="S34" i="18"/>
  <c r="A34" i="18"/>
  <c r="S33" i="18"/>
  <c r="A33" i="18"/>
  <c r="S32" i="18"/>
  <c r="A32" i="18"/>
  <c r="S31" i="18"/>
  <c r="A31" i="18"/>
  <c r="S30" i="18"/>
  <c r="A30" i="18"/>
  <c r="S29" i="18"/>
  <c r="A29" i="18"/>
  <c r="S28" i="18"/>
  <c r="A28" i="18"/>
  <c r="S25" i="18"/>
  <c r="A25" i="18"/>
  <c r="S24" i="18"/>
  <c r="A24" i="18"/>
  <c r="S23" i="18"/>
  <c r="A23" i="18"/>
  <c r="S22" i="18"/>
  <c r="A22" i="18"/>
  <c r="S21" i="18"/>
  <c r="A21" i="18"/>
  <c r="S20" i="18"/>
  <c r="A20" i="18"/>
  <c r="S19" i="18"/>
  <c r="A19" i="18"/>
  <c r="S18" i="18"/>
  <c r="A18" i="18"/>
  <c r="S17" i="18"/>
  <c r="A17" i="18"/>
  <c r="S16" i="18"/>
  <c r="A16" i="18"/>
  <c r="S15" i="18"/>
  <c r="A15" i="18"/>
  <c r="S12" i="18"/>
  <c r="A12" i="18"/>
  <c r="S11" i="18"/>
  <c r="A11" i="18"/>
  <c r="S10" i="18"/>
  <c r="A10" i="18"/>
  <c r="S9" i="18"/>
  <c r="A9" i="18"/>
  <c r="S8" i="18"/>
  <c r="A8" i="18"/>
  <c r="S7" i="18"/>
  <c r="A7" i="18"/>
  <c r="S6" i="18"/>
  <c r="A6" i="18"/>
  <c r="S5" i="18"/>
  <c r="A5" i="18"/>
  <c r="S4" i="18"/>
  <c r="A4" i="18"/>
  <c r="S3" i="18"/>
  <c r="S131" i="18" s="1"/>
  <c r="A3" i="18"/>
  <c r="S2" i="18"/>
  <c r="A2" i="18"/>
  <c r="S129" i="17"/>
  <c r="A129" i="17"/>
  <c r="S128" i="17"/>
  <c r="A128" i="17"/>
  <c r="S127" i="17"/>
  <c r="A127" i="17"/>
  <c r="S126" i="17"/>
  <c r="A126" i="17"/>
  <c r="S125" i="17"/>
  <c r="A125" i="17"/>
  <c r="S124" i="17"/>
  <c r="A124" i="17"/>
  <c r="S123" i="17"/>
  <c r="A123" i="17"/>
  <c r="S122" i="17"/>
  <c r="A122" i="17"/>
  <c r="S121" i="17"/>
  <c r="A121" i="17"/>
  <c r="S120" i="17"/>
  <c r="A120" i="17"/>
  <c r="S119" i="17"/>
  <c r="A119" i="17"/>
  <c r="S116" i="17"/>
  <c r="A116" i="17"/>
  <c r="S115" i="17"/>
  <c r="A115" i="17"/>
  <c r="S114" i="17"/>
  <c r="A114" i="17"/>
  <c r="S113" i="17"/>
  <c r="A113" i="17"/>
  <c r="S112" i="17"/>
  <c r="A112" i="17"/>
  <c r="S111" i="17"/>
  <c r="A111" i="17"/>
  <c r="S110" i="17"/>
  <c r="A110" i="17"/>
  <c r="S109" i="17"/>
  <c r="A109" i="17"/>
  <c r="S108" i="17"/>
  <c r="A108" i="17"/>
  <c r="S107" i="17"/>
  <c r="A107" i="17"/>
  <c r="S106" i="17"/>
  <c r="A106" i="17"/>
  <c r="S103" i="17"/>
  <c r="A103" i="17"/>
  <c r="S102" i="17"/>
  <c r="A102" i="17"/>
  <c r="S101" i="17"/>
  <c r="A101" i="17"/>
  <c r="S100" i="17"/>
  <c r="A100" i="17"/>
  <c r="S99" i="17"/>
  <c r="A99" i="17"/>
  <c r="S98" i="17"/>
  <c r="A98" i="17"/>
  <c r="S97" i="17"/>
  <c r="A97" i="17"/>
  <c r="S96" i="17"/>
  <c r="A96" i="17"/>
  <c r="S95" i="17"/>
  <c r="A95" i="17"/>
  <c r="S94" i="17"/>
  <c r="A94" i="17"/>
  <c r="S93" i="17"/>
  <c r="A93" i="17"/>
  <c r="S90" i="17"/>
  <c r="A90" i="17"/>
  <c r="S89" i="17"/>
  <c r="A89" i="17"/>
  <c r="S88" i="17"/>
  <c r="A88" i="17"/>
  <c r="S87" i="17"/>
  <c r="A87" i="17"/>
  <c r="S86" i="17"/>
  <c r="A86" i="17"/>
  <c r="S85" i="17"/>
  <c r="A85" i="17"/>
  <c r="S84" i="17"/>
  <c r="A84" i="17"/>
  <c r="S83" i="17"/>
  <c r="A83" i="17"/>
  <c r="S82" i="17"/>
  <c r="A82" i="17"/>
  <c r="S81" i="17"/>
  <c r="A81" i="17"/>
  <c r="S80" i="17"/>
  <c r="A80" i="17"/>
  <c r="S77" i="17"/>
  <c r="A77" i="17"/>
  <c r="S76" i="17"/>
  <c r="A76" i="17"/>
  <c r="S75" i="17"/>
  <c r="A75" i="17"/>
  <c r="S74" i="17"/>
  <c r="A74" i="17"/>
  <c r="S73" i="17"/>
  <c r="A73" i="17"/>
  <c r="S72" i="17"/>
  <c r="A72" i="17"/>
  <c r="S71" i="17"/>
  <c r="A71" i="17"/>
  <c r="S70" i="17"/>
  <c r="A70" i="17"/>
  <c r="S69" i="17"/>
  <c r="A69" i="17"/>
  <c r="S68" i="17"/>
  <c r="A68" i="17"/>
  <c r="S67" i="17"/>
  <c r="A67" i="17"/>
  <c r="S64" i="17"/>
  <c r="A64" i="17"/>
  <c r="S63" i="17"/>
  <c r="A63" i="17"/>
  <c r="S62" i="17"/>
  <c r="A62" i="17"/>
  <c r="S61" i="17"/>
  <c r="A61" i="17"/>
  <c r="S60" i="17"/>
  <c r="A60" i="17"/>
  <c r="S59" i="17"/>
  <c r="A59" i="17"/>
  <c r="S58" i="17"/>
  <c r="A58" i="17"/>
  <c r="S57" i="17"/>
  <c r="A57" i="17"/>
  <c r="S56" i="17"/>
  <c r="A56" i="17"/>
  <c r="S55" i="17"/>
  <c r="A55" i="17"/>
  <c r="S54" i="17"/>
  <c r="A54" i="17"/>
  <c r="S51" i="17"/>
  <c r="A51" i="17"/>
  <c r="S50" i="17"/>
  <c r="A50" i="17"/>
  <c r="S49" i="17"/>
  <c r="A49" i="17"/>
  <c r="S48" i="17"/>
  <c r="A48" i="17"/>
  <c r="S47" i="17"/>
  <c r="A47" i="17"/>
  <c r="S46" i="17"/>
  <c r="A46" i="17"/>
  <c r="S45" i="17"/>
  <c r="A45" i="17"/>
  <c r="S44" i="17"/>
  <c r="A44" i="17"/>
  <c r="S43" i="17"/>
  <c r="A43" i="17"/>
  <c r="S42" i="17"/>
  <c r="A42" i="17"/>
  <c r="S41" i="17"/>
  <c r="A41" i="17"/>
  <c r="S38" i="17"/>
  <c r="A38" i="17"/>
  <c r="S37" i="17"/>
  <c r="A37" i="17"/>
  <c r="S36" i="17"/>
  <c r="A36" i="17"/>
  <c r="S35" i="17"/>
  <c r="A35" i="17"/>
  <c r="S34" i="17"/>
  <c r="A34" i="17"/>
  <c r="S33" i="17"/>
  <c r="A33" i="17"/>
  <c r="S32" i="17"/>
  <c r="A32" i="17"/>
  <c r="S31" i="17"/>
  <c r="A31" i="17"/>
  <c r="S30" i="17"/>
  <c r="A30" i="17"/>
  <c r="S29" i="17"/>
  <c r="A29" i="17"/>
  <c r="S28" i="17"/>
  <c r="A28" i="17"/>
  <c r="S25" i="17"/>
  <c r="A25" i="17"/>
  <c r="S24" i="17"/>
  <c r="A24" i="17"/>
  <c r="S23" i="17"/>
  <c r="A23" i="17"/>
  <c r="S22" i="17"/>
  <c r="A22" i="17"/>
  <c r="S21" i="17"/>
  <c r="A21" i="17"/>
  <c r="S20" i="17"/>
  <c r="A20" i="17"/>
  <c r="S19" i="17"/>
  <c r="A19" i="17"/>
  <c r="S18" i="17"/>
  <c r="A18" i="17"/>
  <c r="S17" i="17"/>
  <c r="A17" i="17"/>
  <c r="S16" i="17"/>
  <c r="A16" i="17"/>
  <c r="S15" i="17"/>
  <c r="A15" i="17"/>
  <c r="S12" i="17"/>
  <c r="A12" i="17"/>
  <c r="S11" i="17"/>
  <c r="A11" i="17"/>
  <c r="S10" i="17"/>
  <c r="A10" i="17"/>
  <c r="S9" i="17"/>
  <c r="A9" i="17"/>
  <c r="S8" i="17"/>
  <c r="A8" i="17"/>
  <c r="S7" i="17"/>
  <c r="A7" i="17"/>
  <c r="S6" i="17"/>
  <c r="A6" i="17"/>
  <c r="S5" i="17"/>
  <c r="A5" i="17"/>
  <c r="S4" i="17"/>
  <c r="A4" i="17"/>
  <c r="S3" i="17"/>
  <c r="A3" i="17"/>
  <c r="S2" i="17"/>
  <c r="S131" i="17" s="1"/>
  <c r="A2" i="17"/>
  <c r="L11" i="20" l="1"/>
  <c r="L30" i="20" s="1"/>
  <c r="P17" i="20"/>
  <c r="P42" i="20" s="1"/>
  <c r="Q7" i="20"/>
  <c r="P9" i="20"/>
  <c r="P26" i="20" s="1"/>
  <c r="P15" i="20"/>
  <c r="P38" i="20" s="1"/>
  <c r="L12" i="20"/>
  <c r="L19" i="20"/>
  <c r="L46" i="20" s="1"/>
  <c r="L7" i="20"/>
  <c r="L10" i="20"/>
  <c r="L28" i="20" s="1"/>
  <c r="Q12" i="20"/>
  <c r="Q31" i="20" s="1"/>
  <c r="Q16" i="20"/>
  <c r="Q39" i="20" s="1"/>
  <c r="Q10" i="20"/>
  <c r="Q28" i="20" s="1"/>
  <c r="L13" i="20"/>
  <c r="L24" i="20"/>
  <c r="L9" i="20"/>
  <c r="L29" i="20"/>
  <c r="Q9" i="20"/>
  <c r="Q25" i="20" s="1"/>
  <c r="L15" i="20"/>
  <c r="L38" i="20" s="1"/>
  <c r="Q18" i="20"/>
  <c r="Q44" i="20" s="1"/>
  <c r="K10" i="20"/>
  <c r="J9" i="20"/>
  <c r="J19" i="20"/>
  <c r="K11" i="20"/>
  <c r="J10" i="20"/>
  <c r="I9" i="20"/>
  <c r="J17" i="20"/>
  <c r="J11" i="20"/>
  <c r="I10" i="20"/>
  <c r="H9" i="20"/>
  <c r="H17" i="20"/>
  <c r="K18" i="20"/>
  <c r="H15" i="20"/>
  <c r="I18" i="20"/>
  <c r="I16" i="20"/>
  <c r="F15" i="20"/>
  <c r="N37" i="20"/>
  <c r="N38" i="20"/>
  <c r="G14" i="20"/>
  <c r="H18" i="20"/>
  <c r="L25" i="20"/>
  <c r="J13" i="20"/>
  <c r="Q27" i="20"/>
  <c r="F13" i="20"/>
  <c r="O16" i="20"/>
  <c r="T12" i="20"/>
  <c r="T21" i="20" s="1"/>
  <c r="T13" i="20"/>
  <c r="T14" i="20"/>
  <c r="T15" i="20"/>
  <c r="T16" i="20"/>
  <c r="T18" i="20"/>
  <c r="J12" i="20"/>
  <c r="N8" i="20"/>
  <c r="I12" i="20"/>
  <c r="L33" i="20"/>
  <c r="L34" i="20"/>
  <c r="Q40" i="20"/>
  <c r="P43" i="20"/>
  <c r="K13" i="20"/>
  <c r="K12" i="20"/>
  <c r="N13" i="20"/>
  <c r="Q43" i="20"/>
  <c r="Q26" i="20"/>
  <c r="P41" i="20"/>
  <c r="L35" i="20"/>
  <c r="L36" i="20"/>
  <c r="M15" i="20"/>
  <c r="M16" i="20"/>
  <c r="M17" i="20"/>
  <c r="M9" i="20"/>
  <c r="M18" i="20"/>
  <c r="M10" i="20"/>
  <c r="M7" i="20"/>
  <c r="M24" i="20"/>
  <c r="M19" i="20"/>
  <c r="M11" i="20"/>
  <c r="M13" i="20"/>
  <c r="M12" i="20"/>
  <c r="F16" i="20"/>
  <c r="F17" i="20"/>
  <c r="F9" i="20"/>
  <c r="F18" i="20"/>
  <c r="F10" i="20"/>
  <c r="F24" i="20"/>
  <c r="F19" i="20"/>
  <c r="F11" i="20"/>
  <c r="F12" i="20"/>
  <c r="F14" i="20"/>
  <c r="N16" i="20"/>
  <c r="N17" i="20"/>
  <c r="N9" i="20"/>
  <c r="N18" i="20"/>
  <c r="N10" i="20"/>
  <c r="N7" i="20"/>
  <c r="N24" i="20"/>
  <c r="N19" i="20"/>
  <c r="N11" i="20"/>
  <c r="N12" i="20"/>
  <c r="N14" i="20"/>
  <c r="M14" i="20"/>
  <c r="G17" i="20"/>
  <c r="G9" i="20"/>
  <c r="G18" i="20"/>
  <c r="G10" i="20"/>
  <c r="G7" i="20"/>
  <c r="G8" i="20" s="1"/>
  <c r="H7" i="20" s="1"/>
  <c r="H8" i="20" s="1"/>
  <c r="I7" i="20" s="1"/>
  <c r="I8" i="20" s="1"/>
  <c r="J7" i="20" s="1"/>
  <c r="J8" i="20" s="1"/>
  <c r="K7" i="20" s="1"/>
  <c r="K8" i="20" s="1"/>
  <c r="G24" i="20"/>
  <c r="G19" i="20"/>
  <c r="G11" i="20"/>
  <c r="G12" i="20"/>
  <c r="G13" i="20"/>
  <c r="G15" i="20"/>
  <c r="O17" i="20"/>
  <c r="O9" i="20"/>
  <c r="O18" i="20"/>
  <c r="O10" i="20"/>
  <c r="O7" i="20"/>
  <c r="O24" i="20"/>
  <c r="O19" i="20"/>
  <c r="O11" i="20"/>
  <c r="O12" i="20"/>
  <c r="O13" i="20"/>
  <c r="O15" i="20"/>
  <c r="O14" i="20"/>
  <c r="G16" i="20"/>
  <c r="P25" i="20"/>
  <c r="H16" i="20"/>
  <c r="P16" i="20"/>
  <c r="I17" i="20"/>
  <c r="Q17" i="20"/>
  <c r="J18" i="20"/>
  <c r="K19" i="20"/>
  <c r="K24" i="20"/>
  <c r="P8" i="20"/>
  <c r="K9" i="20"/>
  <c r="H14" i="20"/>
  <c r="P14" i="20"/>
  <c r="I15" i="20"/>
  <c r="Q15" i="20"/>
  <c r="J16" i="20"/>
  <c r="K17" i="20"/>
  <c r="L18" i="20"/>
  <c r="Q8" i="20"/>
  <c r="H13" i="20"/>
  <c r="P13" i="20"/>
  <c r="I14" i="20"/>
  <c r="Q14" i="20"/>
  <c r="J15" i="20"/>
  <c r="K16" i="20"/>
  <c r="L17" i="20"/>
  <c r="Q32" i="20"/>
  <c r="H12" i="20"/>
  <c r="P12" i="20"/>
  <c r="I13" i="20"/>
  <c r="Q13" i="20"/>
  <c r="J14" i="20"/>
  <c r="K15" i="20"/>
  <c r="L16" i="20"/>
  <c r="L26" i="20"/>
  <c r="H11" i="20"/>
  <c r="P11" i="20"/>
  <c r="K14" i="20"/>
  <c r="H19" i="20"/>
  <c r="P19" i="20"/>
  <c r="H24" i="20"/>
  <c r="P24" i="20"/>
  <c r="P7" i="20"/>
  <c r="L8" i="20"/>
  <c r="H10" i="20"/>
  <c r="P10" i="20"/>
  <c r="I11" i="20"/>
  <c r="Q11" i="20"/>
  <c r="I19" i="20"/>
  <c r="Q19" i="20"/>
  <c r="P37" i="20" l="1"/>
  <c r="L37" i="20"/>
  <c r="L27" i="20"/>
  <c r="L45" i="20"/>
  <c r="L32" i="20"/>
  <c r="L31" i="20"/>
  <c r="P31" i="20"/>
  <c r="P32" i="20"/>
  <c r="N43" i="20"/>
  <c r="N44" i="20"/>
  <c r="G45" i="20"/>
  <c r="G46" i="20"/>
  <c r="N35" i="20"/>
  <c r="N36" i="20"/>
  <c r="N26" i="20"/>
  <c r="N25" i="20"/>
  <c r="M41" i="20"/>
  <c r="M42" i="20"/>
  <c r="I43" i="20"/>
  <c r="I44" i="20"/>
  <c r="I25" i="20"/>
  <c r="I26" i="20"/>
  <c r="I45" i="20"/>
  <c r="I46" i="20"/>
  <c r="H34" i="20"/>
  <c r="H33" i="20"/>
  <c r="I37" i="20"/>
  <c r="I38" i="20"/>
  <c r="J44" i="20"/>
  <c r="J43" i="20"/>
  <c r="O37" i="20"/>
  <c r="O38" i="20"/>
  <c r="O43" i="20"/>
  <c r="O44" i="20"/>
  <c r="N32" i="20"/>
  <c r="N31" i="20"/>
  <c r="N42" i="20"/>
  <c r="N41" i="20"/>
  <c r="F43" i="20"/>
  <c r="F44" i="20"/>
  <c r="W18" i="20"/>
  <c r="M29" i="20"/>
  <c r="M30" i="20"/>
  <c r="M39" i="20"/>
  <c r="M40" i="20"/>
  <c r="N34" i="20"/>
  <c r="N33" i="20"/>
  <c r="J33" i="20"/>
  <c r="J34" i="20"/>
  <c r="H37" i="20"/>
  <c r="H38" i="20"/>
  <c r="J28" i="20"/>
  <c r="J27" i="20"/>
  <c r="I35" i="20"/>
  <c r="I36" i="20"/>
  <c r="M35" i="20"/>
  <c r="M36" i="20"/>
  <c r="Q45" i="20"/>
  <c r="Q46" i="20"/>
  <c r="F27" i="20"/>
  <c r="F28" i="20"/>
  <c r="W10" i="20"/>
  <c r="M33" i="20"/>
  <c r="M34" i="20"/>
  <c r="Q29" i="20"/>
  <c r="Q30" i="20"/>
  <c r="Q49" i="20" s="1"/>
  <c r="L40" i="20"/>
  <c r="L39" i="20"/>
  <c r="P36" i="20"/>
  <c r="P35" i="20"/>
  <c r="Q41" i="20"/>
  <c r="Q42" i="20"/>
  <c r="O33" i="20"/>
  <c r="O34" i="20"/>
  <c r="O25" i="20"/>
  <c r="O26" i="20"/>
  <c r="N29" i="20"/>
  <c r="N30" i="20"/>
  <c r="N40" i="20"/>
  <c r="N39" i="20"/>
  <c r="F26" i="20"/>
  <c r="W9" i="20"/>
  <c r="F25" i="20"/>
  <c r="M45" i="20"/>
  <c r="M46" i="20"/>
  <c r="M37" i="20"/>
  <c r="M38" i="20"/>
  <c r="K31" i="20"/>
  <c r="K32" i="20"/>
  <c r="G35" i="20"/>
  <c r="G36" i="20"/>
  <c r="K43" i="20"/>
  <c r="K44" i="20"/>
  <c r="K29" i="20"/>
  <c r="K30" i="20"/>
  <c r="G29" i="20"/>
  <c r="G30" i="20"/>
  <c r="M25" i="20"/>
  <c r="M26" i="20"/>
  <c r="I39" i="20"/>
  <c r="I40" i="20"/>
  <c r="H31" i="20"/>
  <c r="H32" i="20"/>
  <c r="O27" i="20"/>
  <c r="O28" i="20"/>
  <c r="I29" i="20"/>
  <c r="I30" i="20"/>
  <c r="P45" i="20"/>
  <c r="P46" i="20"/>
  <c r="K37" i="20"/>
  <c r="K38" i="20"/>
  <c r="L41" i="20"/>
  <c r="L42" i="20"/>
  <c r="H36" i="20"/>
  <c r="H35" i="20"/>
  <c r="I41" i="20"/>
  <c r="I42" i="20"/>
  <c r="O31" i="20"/>
  <c r="O32" i="20"/>
  <c r="O41" i="20"/>
  <c r="O42" i="20"/>
  <c r="G27" i="20"/>
  <c r="G28" i="20"/>
  <c r="N45" i="20"/>
  <c r="N46" i="20"/>
  <c r="F35" i="20"/>
  <c r="W14" i="20"/>
  <c r="F36" i="20"/>
  <c r="F42" i="20"/>
  <c r="W17" i="20"/>
  <c r="F41" i="20"/>
  <c r="I31" i="20"/>
  <c r="I32" i="20"/>
  <c r="H42" i="20"/>
  <c r="H41" i="20"/>
  <c r="J46" i="20"/>
  <c r="J45" i="20"/>
  <c r="G39" i="20"/>
  <c r="G40" i="20"/>
  <c r="M31" i="20"/>
  <c r="M32" i="20"/>
  <c r="J41" i="20"/>
  <c r="J42" i="20"/>
  <c r="K45" i="20"/>
  <c r="K46" i="20"/>
  <c r="P28" i="20"/>
  <c r="P27" i="20"/>
  <c r="H45" i="20"/>
  <c r="H46" i="20"/>
  <c r="J36" i="20"/>
  <c r="J35" i="20"/>
  <c r="K39" i="20"/>
  <c r="K40" i="20"/>
  <c r="K25" i="20"/>
  <c r="K26" i="20"/>
  <c r="P39" i="20"/>
  <c r="P40" i="20"/>
  <c r="O29" i="20"/>
  <c r="O30" i="20"/>
  <c r="G37" i="20"/>
  <c r="G38" i="20"/>
  <c r="G43" i="20"/>
  <c r="G44" i="20"/>
  <c r="F32" i="20"/>
  <c r="W12" i="20"/>
  <c r="F31" i="20"/>
  <c r="W16" i="20"/>
  <c r="F40" i="20"/>
  <c r="F39" i="20"/>
  <c r="K33" i="20"/>
  <c r="K34" i="20"/>
  <c r="H44" i="20"/>
  <c r="H43" i="20"/>
  <c r="H26" i="20"/>
  <c r="H25" i="20"/>
  <c r="J25" i="20"/>
  <c r="J26" i="20"/>
  <c r="J39" i="20"/>
  <c r="J40" i="20"/>
  <c r="F34" i="20"/>
  <c r="W13" i="20"/>
  <c r="F33" i="20"/>
  <c r="P34" i="20"/>
  <c r="P33" i="20"/>
  <c r="P48" i="20" s="1"/>
  <c r="O35" i="20"/>
  <c r="O36" i="20"/>
  <c r="K35" i="20"/>
  <c r="K36" i="20"/>
  <c r="Q33" i="20"/>
  <c r="Q34" i="20"/>
  <c r="J38" i="20"/>
  <c r="J37" i="20"/>
  <c r="L43" i="20"/>
  <c r="L44" i="20"/>
  <c r="H39" i="20"/>
  <c r="H40" i="20"/>
  <c r="O45" i="20"/>
  <c r="O46" i="20"/>
  <c r="G33" i="20"/>
  <c r="G34" i="20"/>
  <c r="G25" i="20"/>
  <c r="G26" i="20"/>
  <c r="F29" i="20"/>
  <c r="F30" i="20"/>
  <c r="W11" i="20"/>
  <c r="M27" i="20"/>
  <c r="M28" i="20"/>
  <c r="W15" i="20"/>
  <c r="F37" i="20"/>
  <c r="F38" i="20"/>
  <c r="I27" i="20"/>
  <c r="I28" i="20"/>
  <c r="K27" i="20"/>
  <c r="K28" i="20"/>
  <c r="H29" i="20"/>
  <c r="H30" i="20"/>
  <c r="Q37" i="20"/>
  <c r="Q38" i="20"/>
  <c r="H28" i="20"/>
  <c r="H27" i="20"/>
  <c r="P29" i="20"/>
  <c r="P30" i="20"/>
  <c r="I33" i="20"/>
  <c r="I34" i="20"/>
  <c r="Q35" i="20"/>
  <c r="Q36" i="20"/>
  <c r="K41" i="20"/>
  <c r="K42" i="20"/>
  <c r="G31" i="20"/>
  <c r="G32" i="20"/>
  <c r="G41" i="20"/>
  <c r="G42" i="20"/>
  <c r="N27" i="20"/>
  <c r="N28" i="20"/>
  <c r="F45" i="20"/>
  <c r="F46" i="20"/>
  <c r="W19" i="20"/>
  <c r="M43" i="20"/>
  <c r="M44" i="20"/>
  <c r="J31" i="20"/>
  <c r="J32" i="20"/>
  <c r="O39" i="20"/>
  <c r="O40" i="20"/>
  <c r="J30" i="20"/>
  <c r="J29" i="20"/>
  <c r="L48" i="20" l="1"/>
  <c r="Q48" i="20"/>
  <c r="Q51" i="20" s="1"/>
  <c r="Q53" i="20" s="1"/>
  <c r="H48" i="20"/>
  <c r="H49" i="20"/>
  <c r="H51" i="20" s="1"/>
  <c r="H53" i="20" s="1"/>
  <c r="L51" i="20"/>
  <c r="L53" i="20" s="1"/>
  <c r="N49" i="20"/>
  <c r="G48" i="20"/>
  <c r="L49" i="20"/>
  <c r="R36" i="20"/>
  <c r="S36" i="20"/>
  <c r="R38" i="20"/>
  <c r="S38" i="20"/>
  <c r="S31" i="20"/>
  <c r="R31" i="20"/>
  <c r="S27" i="20"/>
  <c r="R27" i="20"/>
  <c r="R28" i="20"/>
  <c r="S28" i="20"/>
  <c r="R46" i="20"/>
  <c r="S46" i="20"/>
  <c r="S45" i="20"/>
  <c r="R45" i="20"/>
  <c r="S37" i="20"/>
  <c r="R37" i="20"/>
  <c r="S35" i="20"/>
  <c r="R35" i="20"/>
  <c r="R30" i="20"/>
  <c r="S30" i="20"/>
  <c r="S34" i="20"/>
  <c r="R34" i="20"/>
  <c r="J49" i="20"/>
  <c r="S32" i="20"/>
  <c r="R32" i="20"/>
  <c r="I49" i="20"/>
  <c r="S33" i="20"/>
  <c r="R33" i="20"/>
  <c r="S29" i="20"/>
  <c r="R29" i="20"/>
  <c r="J48" i="20"/>
  <c r="J51" i="20" s="1"/>
  <c r="J53" i="20" s="1"/>
  <c r="K49" i="20"/>
  <c r="M49" i="20"/>
  <c r="O49" i="20"/>
  <c r="R44" i="20"/>
  <c r="S44" i="20"/>
  <c r="I48" i="20"/>
  <c r="G49" i="20"/>
  <c r="K48" i="20"/>
  <c r="K51" i="20" s="1"/>
  <c r="K53" i="20" s="1"/>
  <c r="P49" i="20"/>
  <c r="P51" i="20" s="1"/>
  <c r="P53" i="20" s="1"/>
  <c r="S41" i="20"/>
  <c r="R41" i="20"/>
  <c r="M48" i="20"/>
  <c r="S25" i="20"/>
  <c r="R25" i="20"/>
  <c r="F48" i="20"/>
  <c r="O48" i="20"/>
  <c r="S43" i="20"/>
  <c r="R43" i="20"/>
  <c r="S39" i="20"/>
  <c r="R39" i="20"/>
  <c r="S40" i="20"/>
  <c r="R40" i="20"/>
  <c r="S42" i="20"/>
  <c r="R42" i="20"/>
  <c r="S26" i="20"/>
  <c r="R26" i="20"/>
  <c r="F49" i="20"/>
  <c r="N48" i="20"/>
  <c r="N51" i="20" s="1"/>
  <c r="N53" i="20" s="1"/>
  <c r="M51" i="20" l="1"/>
  <c r="M53" i="20" s="1"/>
  <c r="I51" i="20"/>
  <c r="I53" i="20" s="1"/>
  <c r="O51" i="20"/>
  <c r="O53" i="20" s="1"/>
  <c r="S48" i="20"/>
  <c r="S52" i="20" s="1"/>
  <c r="G51" i="20"/>
  <c r="G53" i="20" s="1"/>
  <c r="S49" i="20"/>
  <c r="F51" i="20"/>
  <c r="S51" i="20" l="1"/>
  <c r="P52" i="20" s="1"/>
  <c r="Q52" i="20"/>
  <c r="I52" i="20"/>
  <c r="O52" i="20"/>
  <c r="G52" i="20"/>
  <c r="M52" i="20"/>
  <c r="T28" i="20"/>
  <c r="X5" i="20"/>
  <c r="T39" i="20"/>
  <c r="L52" i="20"/>
  <c r="T25" i="20" l="1"/>
  <c r="T43" i="20"/>
  <c r="T41" i="20"/>
  <c r="T29" i="20"/>
  <c r="T35" i="20"/>
  <c r="T33" i="20"/>
  <c r="T30" i="20"/>
  <c r="T32" i="20"/>
  <c r="T27" i="20"/>
  <c r="T38" i="20"/>
  <c r="F52" i="20"/>
  <c r="T52" i="20" s="1"/>
  <c r="S53" i="20"/>
  <c r="J52" i="20"/>
  <c r="T46" i="20"/>
  <c r="N52" i="20"/>
  <c r="T45" i="20"/>
  <c r="K52" i="20"/>
  <c r="T42" i="20"/>
  <c r="T40" i="20"/>
  <c r="T37" i="20"/>
  <c r="T36" i="20"/>
  <c r="T26" i="20"/>
  <c r="T49" i="20" s="1"/>
  <c r="H52" i="20"/>
  <c r="T31" i="20"/>
  <c r="T44" i="20"/>
  <c r="T34" i="20"/>
  <c r="T48" i="20"/>
  <c r="T51" i="20" l="1"/>
  <c r="F53" i="20"/>
  <c r="T53" i="20"/>
  <c r="L7" i="2" l="1"/>
  <c r="L3" i="2"/>
  <c r="H64" i="2" l="1"/>
  <c r="H65" i="2"/>
  <c r="H66" i="2"/>
  <c r="H67" i="2"/>
  <c r="H68" i="2"/>
  <c r="H69" i="2"/>
  <c r="H61" i="2"/>
  <c r="H62" i="2"/>
  <c r="H6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4" i="2"/>
  <c r="H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6" i="2"/>
  <c r="L5" i="2"/>
  <c r="L4" i="2"/>
  <c r="H82" i="2"/>
  <c r="G82" i="2"/>
  <c r="E82" i="2"/>
  <c r="H81" i="2"/>
  <c r="G81" i="2"/>
  <c r="E81" i="2"/>
  <c r="H80" i="2"/>
  <c r="G80" i="2"/>
  <c r="E80" i="2"/>
  <c r="H79" i="2"/>
  <c r="G79" i="2"/>
  <c r="E79" i="2"/>
  <c r="H78" i="2"/>
  <c r="G78" i="2"/>
  <c r="E78" i="2"/>
  <c r="H77" i="2"/>
  <c r="G77" i="2"/>
  <c r="E77" i="2"/>
  <c r="H76" i="2"/>
  <c r="G76" i="2"/>
  <c r="E76" i="2"/>
  <c r="H75" i="2"/>
  <c r="G75" i="2"/>
  <c r="E75" i="2"/>
  <c r="H74" i="2"/>
  <c r="G74" i="2"/>
  <c r="E74" i="2"/>
  <c r="H73" i="2"/>
  <c r="G73" i="2"/>
  <c r="E73" i="2"/>
  <c r="H72" i="2"/>
  <c r="G72" i="2"/>
  <c r="E72" i="2"/>
  <c r="H71" i="2"/>
  <c r="G71" i="2"/>
  <c r="E71" i="2"/>
  <c r="H70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2" i="2"/>
  <c r="E62" i="2"/>
  <c r="G61" i="2"/>
  <c r="E61" i="2"/>
  <c r="G60" i="2"/>
  <c r="E60" i="2"/>
  <c r="G59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E3" i="2"/>
  <c r="G3" i="2"/>
  <c r="M70" i="13" l="1"/>
  <c r="F70" i="13"/>
  <c r="K69" i="13"/>
  <c r="D69" i="13"/>
  <c r="J68" i="13"/>
  <c r="F68" i="13"/>
  <c r="C68" i="13"/>
  <c r="C58" i="13"/>
  <c r="M57" i="13"/>
  <c r="M58" i="13" s="1"/>
  <c r="J57" i="13"/>
  <c r="J58" i="13" s="1"/>
  <c r="C57" i="13"/>
  <c r="M56" i="13"/>
  <c r="M69" i="13" s="1"/>
  <c r="F56" i="13"/>
  <c r="F69" i="13" s="1"/>
  <c r="M55" i="13"/>
  <c r="M68" i="13" s="1"/>
  <c r="F55" i="13"/>
  <c r="M53" i="13"/>
  <c r="M66" i="13" s="1"/>
  <c r="F53" i="13"/>
  <c r="F57" i="13" s="1"/>
  <c r="F58" i="13" s="1"/>
  <c r="F32" i="13"/>
  <c r="M71" i="13" l="1"/>
  <c r="M72" i="13" s="1"/>
  <c r="F66" i="13"/>
  <c r="F71" i="13" s="1"/>
  <c r="F72" i="13" s="1"/>
  <c r="M34" i="13" l="1"/>
  <c r="K33" i="13"/>
  <c r="J32" i="13"/>
  <c r="J21" i="13"/>
  <c r="J22" i="13" s="1"/>
  <c r="M20" i="13"/>
  <c r="M19" i="13"/>
  <c r="M17" i="13"/>
  <c r="F34" i="13"/>
  <c r="C32" i="13"/>
  <c r="F20" i="13"/>
  <c r="F19" i="13"/>
  <c r="F17" i="13"/>
  <c r="F21" i="13"/>
  <c r="F22" i="13" s="1"/>
  <c r="M33" i="13" l="1"/>
  <c r="M32" i="13"/>
  <c r="M30" i="13"/>
  <c r="M35" i="13" s="1"/>
  <c r="M36" i="13" s="1"/>
  <c r="M21" i="13"/>
  <c r="M22" i="13" s="1"/>
  <c r="F33" i="13"/>
  <c r="F30" i="13"/>
  <c r="F35" i="13" s="1"/>
  <c r="F36" i="13" s="1"/>
  <c r="Z26" i="13"/>
  <c r="AA26" i="13" s="1"/>
  <c r="Z21" i="13"/>
  <c r="C21" i="13"/>
  <c r="C22" i="13" s="1"/>
  <c r="Z22" i="13" l="1"/>
  <c r="Z23" i="13"/>
  <c r="Z24" i="13"/>
  <c r="AA24" i="13" s="1"/>
  <c r="Z25" i="13"/>
  <c r="AA25" i="13" s="1"/>
  <c r="D33" i="13"/>
  <c r="AA22" i="13" l="1"/>
  <c r="AA27" i="13" s="1"/>
  <c r="AA28" i="13" s="1"/>
  <c r="Z27" i="13"/>
  <c r="Z28" i="13" s="1"/>
  <c r="W60" i="2" l="1"/>
  <c r="W59" i="2"/>
  <c r="W58" i="2"/>
  <c r="W57" i="2"/>
  <c r="W56" i="2"/>
  <c r="W55" i="2"/>
  <c r="W54" i="2"/>
  <c r="W40" i="2"/>
  <c r="W41" i="2"/>
  <c r="W42" i="2"/>
  <c r="W43" i="2"/>
  <c r="W39" i="2"/>
  <c r="W38" i="2"/>
  <c r="W37" i="2"/>
  <c r="W28" i="2"/>
  <c r="W29" i="2"/>
  <c r="W34" i="2" s="1"/>
  <c r="W30" i="2"/>
  <c r="W35" i="2" s="1"/>
  <c r="W31" i="2"/>
  <c r="W36" i="2" s="1"/>
  <c r="W27" i="2"/>
  <c r="W33" i="2"/>
  <c r="W63" i="2" l="1"/>
  <c r="W62" i="2"/>
  <c r="W61" i="2"/>
  <c r="W48" i="2"/>
  <c r="W47" i="2"/>
  <c r="W46" i="2"/>
  <c r="W45" i="2"/>
  <c r="W44" i="2"/>
  <c r="W24" i="2"/>
  <c r="W23" i="2"/>
  <c r="W18" i="2"/>
  <c r="W17" i="2"/>
  <c r="W16" i="2"/>
  <c r="W15" i="2"/>
  <c r="W14" i="2"/>
  <c r="W26" i="2" s="1"/>
  <c r="W13" i="2"/>
  <c r="W25" i="2" s="1"/>
  <c r="W11" i="2"/>
  <c r="B8" i="9" l="1"/>
  <c r="B12" i="9" s="1"/>
  <c r="N3" i="2" l="1"/>
  <c r="T3" i="2"/>
  <c r="N4" i="2"/>
  <c r="O4" i="2"/>
  <c r="N5" i="2"/>
  <c r="T5" i="2"/>
  <c r="N6" i="2"/>
  <c r="T6" i="2"/>
  <c r="R7" i="2"/>
  <c r="R9" i="2"/>
  <c r="R10" i="2"/>
  <c r="P11" i="2"/>
  <c r="R11" i="2"/>
  <c r="R23" i="2" s="1"/>
  <c r="N12" i="2"/>
  <c r="P12" i="2"/>
  <c r="P13" i="2"/>
  <c r="R13" i="2"/>
  <c r="R25" i="2" s="1"/>
  <c r="P14" i="2"/>
  <c r="R14" i="2"/>
  <c r="R26" i="2" s="1"/>
  <c r="P15" i="2"/>
  <c r="R15" i="2"/>
  <c r="P16" i="2"/>
  <c r="R16" i="2"/>
  <c r="P17" i="2"/>
  <c r="R17" i="2"/>
  <c r="P18" i="2"/>
  <c r="R18" i="2"/>
  <c r="P19" i="2"/>
  <c r="P20" i="2"/>
  <c r="R20" i="2"/>
  <c r="P21" i="2"/>
  <c r="P22" i="2"/>
  <c r="R24" i="2"/>
  <c r="N27" i="2"/>
  <c r="O27" i="2"/>
  <c r="T27" i="2"/>
  <c r="N28" i="2"/>
  <c r="O28" i="2"/>
  <c r="T28" i="2"/>
  <c r="N29" i="2"/>
  <c r="O29" i="2"/>
  <c r="T29" i="2"/>
  <c r="N30" i="2"/>
  <c r="O30" i="2"/>
  <c r="T30" i="2"/>
  <c r="N31" i="2"/>
  <c r="O31" i="2"/>
  <c r="T31" i="2"/>
  <c r="R32" i="2"/>
  <c r="R33" i="2"/>
  <c r="R34" i="2"/>
  <c r="R35" i="2"/>
  <c r="R36" i="2"/>
  <c r="N37" i="2"/>
  <c r="R37" i="2"/>
  <c r="N38" i="2"/>
  <c r="R38" i="2"/>
  <c r="N39" i="2"/>
  <c r="R39" i="2"/>
  <c r="N40" i="2"/>
  <c r="R40" i="2"/>
  <c r="N41" i="2"/>
  <c r="R41" i="2"/>
  <c r="N42" i="2"/>
  <c r="R42" i="2"/>
  <c r="N43" i="2"/>
  <c r="R43" i="2"/>
  <c r="N44" i="2"/>
  <c r="O44" i="2"/>
  <c r="R44" i="2"/>
  <c r="T44" i="2"/>
  <c r="N45" i="2"/>
  <c r="O45" i="2"/>
  <c r="R45" i="2"/>
  <c r="T45" i="2"/>
  <c r="N46" i="2"/>
  <c r="O46" i="2"/>
  <c r="Q46" i="2"/>
  <c r="R46" i="2"/>
  <c r="T46" i="2"/>
  <c r="N47" i="2"/>
  <c r="O47" i="2"/>
  <c r="R47" i="2"/>
  <c r="T47" i="2"/>
  <c r="N48" i="2"/>
  <c r="O48" i="2"/>
  <c r="R48" i="2"/>
  <c r="T48" i="2"/>
  <c r="P49" i="2"/>
  <c r="P50" i="2"/>
  <c r="O51" i="2"/>
  <c r="P51" i="2"/>
  <c r="Q51" i="2"/>
  <c r="T51" i="2"/>
  <c r="P52" i="2"/>
  <c r="P53" i="2"/>
  <c r="N54" i="2"/>
  <c r="R54" i="2"/>
  <c r="N55" i="2"/>
  <c r="R55" i="2"/>
  <c r="N56" i="2"/>
  <c r="O56" i="2"/>
  <c r="Q56" i="2"/>
  <c r="R56" i="2"/>
  <c r="N57" i="2"/>
  <c r="R57" i="2"/>
  <c r="N58" i="2"/>
  <c r="R58" i="2"/>
  <c r="P59" i="2"/>
  <c r="N61" i="2"/>
  <c r="R61" i="2"/>
  <c r="N62" i="2"/>
  <c r="R62" i="2"/>
  <c r="N63" i="2"/>
  <c r="R63" i="2"/>
  <c r="N64" i="2"/>
  <c r="N65" i="2"/>
  <c r="N66" i="2"/>
  <c r="N67" i="2"/>
  <c r="N68" i="2"/>
  <c r="N69" i="2"/>
  <c r="R51" i="2"/>
  <c r="R30" i="2"/>
  <c r="R50" i="2"/>
  <c r="N35" i="2"/>
  <c r="N34" i="2"/>
  <c r="N36" i="2"/>
  <c r="O5" i="2"/>
  <c r="N52" i="2" l="1"/>
  <c r="N50" i="2"/>
  <c r="N49" i="2"/>
  <c r="R27" i="2"/>
  <c r="R59" i="2"/>
  <c r="N33" i="2"/>
  <c r="N32" i="2"/>
  <c r="R29" i="2"/>
  <c r="N18" i="2"/>
  <c r="N16" i="2"/>
  <c r="R28" i="2"/>
  <c r="N17" i="2"/>
  <c r="R31" i="2"/>
  <c r="N11" i="2"/>
  <c r="N15" i="2"/>
  <c r="O17" i="2"/>
  <c r="P24" i="2"/>
  <c r="R19" i="2"/>
  <c r="P26" i="2"/>
  <c r="R21" i="2"/>
  <c r="N24" i="2"/>
  <c r="P60" i="2"/>
  <c r="N51" i="2"/>
  <c r="R49" i="2"/>
  <c r="O3" i="2"/>
  <c r="O6" i="2"/>
  <c r="R53" i="2"/>
  <c r="P25" i="2"/>
  <c r="N59" i="2"/>
  <c r="N53" i="2"/>
  <c r="R52" i="2"/>
  <c r="N13" i="2"/>
  <c r="N14" i="2"/>
  <c r="N8" i="2"/>
  <c r="R22" i="2"/>
  <c r="P23" i="2"/>
  <c r="O16" i="2"/>
  <c r="R60" i="2" l="1"/>
  <c r="N7" i="2"/>
  <c r="O15" i="2"/>
  <c r="N23" i="2"/>
  <c r="O18" i="2"/>
  <c r="N20" i="2"/>
  <c r="N9" i="2"/>
  <c r="N25" i="2"/>
  <c r="N10" i="2"/>
  <c r="N26" i="2"/>
  <c r="N60" i="2"/>
  <c r="N19" i="2" l="1"/>
  <c r="N22" i="2"/>
  <c r="N21" i="2"/>
  <c r="W32" i="2" l="1"/>
</calcChain>
</file>

<file path=xl/sharedStrings.xml><?xml version="1.0" encoding="utf-8"?>
<sst xmlns="http://schemas.openxmlformats.org/spreadsheetml/2006/main" count="1348" uniqueCount="476">
  <si>
    <t>QUANT</t>
  </si>
  <si>
    <t>UNIT</t>
  </si>
  <si>
    <t>( R$ ) - PM</t>
  </si>
  <si>
    <t>m3</t>
  </si>
  <si>
    <t xml:space="preserve"> </t>
  </si>
  <si>
    <t>m2</t>
  </si>
  <si>
    <t>m</t>
  </si>
  <si>
    <t>ton</t>
  </si>
  <si>
    <t>un</t>
  </si>
  <si>
    <t>BLSA120</t>
  </si>
  <si>
    <t>DISSIPM</t>
  </si>
  <si>
    <t>serviço</t>
  </si>
  <si>
    <t>TIJOLO</t>
  </si>
  <si>
    <t>cimen</t>
  </si>
  <si>
    <t>areia</t>
  </si>
  <si>
    <t>brita</t>
  </si>
  <si>
    <t>custo
exec</t>
  </si>
  <si>
    <t>CAL</t>
  </si>
  <si>
    <t>forma
   m2</t>
  </si>
  <si>
    <t>TIJOLO
M3</t>
  </si>
  <si>
    <t>concr
magr</t>
  </si>
  <si>
    <t>Concr
11mpa</t>
  </si>
  <si>
    <t>Concr
15mpa</t>
  </si>
  <si>
    <t>argamas
M2</t>
  </si>
  <si>
    <t>aço
ca 60</t>
  </si>
  <si>
    <t>grelha</t>
  </si>
  <si>
    <t>B.L. Símples alvenaria H até 1,20 m</t>
  </si>
  <si>
    <t>B.L. Símples alvenaria H até 1,50 m</t>
  </si>
  <si>
    <t>B.L. Símples alvenaria H até 2,00 m</t>
  </si>
  <si>
    <t>B.L. Símples alvenaria H até 2,50 m</t>
  </si>
  <si>
    <t>C.L. Alvenaria Tubo até 0,80</t>
  </si>
  <si>
    <t>C.L. Alvenaria Tubo até 1,00</t>
  </si>
  <si>
    <t>C.L. Alvenaria Tubo até 1,20</t>
  </si>
  <si>
    <t>K</t>
  </si>
  <si>
    <t>M</t>
  </si>
  <si>
    <t>N</t>
  </si>
  <si>
    <t>O</t>
  </si>
  <si>
    <t>P</t>
  </si>
  <si>
    <t>Q</t>
  </si>
  <si>
    <t>R</t>
  </si>
  <si>
    <t>S</t>
  </si>
  <si>
    <t>C.L. Alvenaria Tubo até 0,40</t>
  </si>
  <si>
    <t>C.L. Alvenaria Tubo até 0,60</t>
  </si>
  <si>
    <t>B.L. Dupla Alvenaria H até 1,20 m</t>
  </si>
  <si>
    <t>B.L. Dupla Alvenaria H até 1,50 m</t>
  </si>
  <si>
    <t>B.L. Dupla Alvenaria H até 2,00 m</t>
  </si>
  <si>
    <t>B.L. Dupla Alvenaria H até 2,50 m</t>
  </si>
  <si>
    <t>B.L. Símples concreto armado H até 1,50 m</t>
  </si>
  <si>
    <t>B.L. Símples concreto armado H até 2,00 m</t>
  </si>
  <si>
    <t>B.L. Símples concreto armado H até 2,50 m</t>
  </si>
  <si>
    <t>B.L. Símples concreto armado H até 1,20 m</t>
  </si>
  <si>
    <t>B.L. Dupla Concreto armado H até 1,50 m</t>
  </si>
  <si>
    <t>B.L. Dupla Concreto armado H até 2,00 m</t>
  </si>
  <si>
    <t>B.L. Dupla Concreto armado H até 2,50 m</t>
  </si>
  <si>
    <t>B.L. Dupla Concreto armado H até 1,20 m</t>
  </si>
  <si>
    <t>CLA040</t>
  </si>
  <si>
    <t>P.V. Alvenaria H até 0,80 m Tubo até 0,40 + chaminé 1,00 m</t>
  </si>
  <si>
    <t>P.V. Alvenaria H até 1,00 m Tubo até 0,60 + chaminé 1,00 m</t>
  </si>
  <si>
    <t>P.V. Alvenaria H até 1,30 m Tubo até 0,80 + chaminé 1,00 m</t>
  </si>
  <si>
    <t>P.V. Alvenaria H até 1,50 m Tubo até 1,00 + chaminé 1,00 m</t>
  </si>
  <si>
    <t>P.V. Alvenaria H até 1,80 m Tubo até 1,20 + chaminé 1,00 m</t>
  </si>
  <si>
    <t>P.V. Pré-moldado H até 0,80 m Tubo até 0,40 + chaminé 1,00 m</t>
  </si>
  <si>
    <t>P.V. Pré-moldado H até 1,00 m Tubo até 0,60 + chaminé 1,00 m</t>
  </si>
  <si>
    <t>P.V. Pré-moldado H até 1,30 m Tubo até 0,80 + chaminé 1,00 m</t>
  </si>
  <si>
    <t>P.V. Pré-moldado H até 1,50 m Tubo até 1,00 + chaminé 1,00 m</t>
  </si>
  <si>
    <t>P.V. Pré-moldado H até 1,80 m Tubo até 1,20 + chaminé 1,00 m</t>
  </si>
  <si>
    <t>P.V. Concreto armado H até 0,80 m Tubo até 0,40 + chaminé 1,00 m</t>
  </si>
  <si>
    <t>P.V. Concreto armado H até 1,00 m Tubo até 0,60 + chaminé 1,00 m</t>
  </si>
  <si>
    <t>P.V. Concreto armado H até 1,30 m Tubo até 0,80 + chaminé 1,00 m</t>
  </si>
  <si>
    <t>P.V. Concreto armado H até 1,50 m Tubo até 1,00 + chaminé 1,00 m</t>
  </si>
  <si>
    <t>P.V. Concreto armado H até 1,80 m Tubo até 1,20 + chaminé 1,00 m</t>
  </si>
  <si>
    <t>P.V. Concreto armado H até 2,00 m Tubo até 1,50 + chaminé 1,00 m</t>
  </si>
  <si>
    <t>P.V. Concreto armado H até 2,50 m Tubo até 2,00 + chaminé 1,00 m</t>
  </si>
  <si>
    <t>Dissipador de Energia c/Pedra de Mão tubo ø 1,00</t>
  </si>
  <si>
    <t>Dissipador de Energia c/Pedra de Mão tubo ø 1,20</t>
  </si>
  <si>
    <t>Dissipador de Energia c/Pedra de Mão tubo ø 1,50</t>
  </si>
  <si>
    <t>Pedra Argamassada m3</t>
  </si>
  <si>
    <t>CICLÓP 11
mpa m3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</si>
  <si>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</si>
  <si>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</si>
  <si>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</si>
  <si>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</si>
  <si>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</si>
  <si>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</si>
  <si>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</si>
  <si>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</si>
  <si>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</si>
  <si>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</si>
  <si>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</si>
  <si>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</si>
  <si>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Compactação de Aterros - Controle Visual</t>
  </si>
  <si>
    <t>Demolição de Concreto Símples</t>
  </si>
  <si>
    <t>DER</t>
  </si>
  <si>
    <t>3</t>
  </si>
  <si>
    <t>Brita Graduada</t>
  </si>
  <si>
    <t>Macadame Hidráulico</t>
  </si>
  <si>
    <t>4</t>
  </si>
  <si>
    <t>6</t>
  </si>
  <si>
    <t>DER mat</t>
  </si>
  <si>
    <t>Areia</t>
  </si>
  <si>
    <t>Cal Hidratada CH-1</t>
  </si>
  <si>
    <t>Brita</t>
  </si>
  <si>
    <t>Meio-Fio com Sarjeta DER - Tipo 2 - (0,042 m3) - Pré-Moldado</t>
  </si>
  <si>
    <t>Remoção e recolocação de cercas de arame</t>
  </si>
  <si>
    <t>Rampa para PNE com Piso Tátil (NBR 9050) - Modelo 02 - 5,94 m2</t>
  </si>
  <si>
    <t>Placa sinalização refletiva - SEM SUPORTE</t>
  </si>
  <si>
    <t>Suporte metál.galv.fogo d=2,5" c/tampa e aletas anti-giro h=3,00m</t>
  </si>
  <si>
    <t>820000A</t>
  </si>
  <si>
    <t>8</t>
  </si>
  <si>
    <t>Corpo de BSTC ø 0,40 Sem Berço c/ Armação Símples CA-1</t>
  </si>
  <si>
    <t>B.L. Símples pré-moldado H até 1,20 m</t>
  </si>
  <si>
    <t>B.L. Símples pré-moldado H até 1,50 m</t>
  </si>
  <si>
    <t>B.L. Símples pré-moldado H até 2,00 m</t>
  </si>
  <si>
    <t>B.L. Símples pré-moldado H até 2,50 m</t>
  </si>
  <si>
    <t>B.L. Dupla Pré-moldado H até 1,20 m</t>
  </si>
  <si>
    <t>B.L. Dupla Pré-moldado H até 1,50 m</t>
  </si>
  <si>
    <t>B.L. Dupla Pré-moldado H até 2,00 m</t>
  </si>
  <si>
    <t>B.L. Dupla Pré-moldado H até 2,50 m</t>
  </si>
  <si>
    <t>C.L. pré-moldado Tubo até 0,40</t>
  </si>
  <si>
    <t>C.L. pré-moldado Tubo até 0,60</t>
  </si>
  <si>
    <t>C.L. pré-moldado Tubo até 0,80</t>
  </si>
  <si>
    <t>C.L. pré-moldado Tubo até 1,00</t>
  </si>
  <si>
    <t>C.L. pré-moldado Tubo até 1,20</t>
  </si>
  <si>
    <t>C.L. concreto armado Tubo até 0,40</t>
  </si>
  <si>
    <t>C.L. concreto armado Tubo até 0,60</t>
  </si>
  <si>
    <t>C.L. concreto armado Tubo até 0,80</t>
  </si>
  <si>
    <t>C.L. concreto armado Tubo até 1,00</t>
  </si>
  <si>
    <t>C.L. concreto armado Tubo até 1,20</t>
  </si>
  <si>
    <t>C.L. concreto armado Tubo até 1,50</t>
  </si>
  <si>
    <t>C.L. concreto armado Tubo até 2,00</t>
  </si>
  <si>
    <t>Viga de Apoio em concreto marmado Tubo 0,80</t>
  </si>
  <si>
    <t>Viga de Apoio em concreto marmado Tubo 1,00</t>
  </si>
  <si>
    <t>Viga de Apoio em concreto marmado Tubo 1,20</t>
  </si>
  <si>
    <t>Dissipador de Energia c/Pedra de Mão tubo ø 0, 40</t>
  </si>
  <si>
    <t>Dissipador de Energia c/Pedra de Mão tubo ø 0, 60</t>
  </si>
  <si>
    <t>Dissipador de Energia c/Pedra de Mão tubo ø 0, 80</t>
  </si>
  <si>
    <t>ENSAIO DE ORÇAMENTO 1</t>
  </si>
  <si>
    <t>ENSAIO DE ORÇAMENTO 2</t>
  </si>
  <si>
    <t>ENSAIO DE ORÇAMENTO 3</t>
  </si>
  <si>
    <t>ENSAIO DE ORÇAMENTO 4</t>
  </si>
  <si>
    <t>ENSAIO DE ORÇAMENTO 5</t>
  </si>
  <si>
    <t>ENSAIO DE ORÇAMENTO 6</t>
  </si>
  <si>
    <t>ENSAIO DE ORÇAMENTO 7</t>
  </si>
  <si>
    <t>ENSAIO DE ORÇAMENTO 8</t>
  </si>
  <si>
    <t>ENSAIO DE ORÇAMENTO 9</t>
  </si>
  <si>
    <t>ENSAIO DE ORÇAMENTO 10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</si>
  <si>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</si>
  <si>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</si>
  <si>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</si>
  <si>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</si>
  <si>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</si>
  <si>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</si>
  <si>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</si>
  <si>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</si>
  <si>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SINALIZAÇÃO DE TRÂNSITO</t>
  </si>
  <si>
    <t>ILUMINAÇÃO PÚBLICA</t>
  </si>
  <si>
    <t>9</t>
  </si>
  <si>
    <t>SERVIÇOS DIVERSOS</t>
  </si>
  <si>
    <t>10</t>
  </si>
  <si>
    <t>Plantio de Grama em placas</t>
  </si>
  <si>
    <t xml:space="preserve">Faixa de Sinalização Horizontal c/tinta resina acrílica base solvente- (0,034 m2/m2) </t>
  </si>
  <si>
    <t>TOTAL</t>
  </si>
  <si>
    <t>PREÇO GLOBAL</t>
  </si>
  <si>
    <t>1</t>
  </si>
  <si>
    <t>11</t>
  </si>
  <si>
    <t>Ensaio de Massa Específica - In Situ - Método Frasco de Areia (Grau de Compactação) - Sub-base e Base</t>
  </si>
  <si>
    <t>Ensaio de Granulometria do Agregado</t>
  </si>
  <si>
    <t>74022/27</t>
  </si>
  <si>
    <t>Ensaio de Controle de Taxa de Aplicação de Ligante Betuminoso</t>
  </si>
  <si>
    <t>Ensaio de Percentagem de Betume - Misturas Betuminosas</t>
  </si>
  <si>
    <t>74022/53</t>
  </si>
  <si>
    <t>Ensaio de Controle do Grau de Compactação da Mistura Asfáltica</t>
  </si>
  <si>
    <t>gb</t>
  </si>
  <si>
    <t>DAER/RS</t>
  </si>
  <si>
    <t xml:space="preserve">     </t>
  </si>
  <si>
    <t>560100A</t>
  </si>
  <si>
    <t>ENSAIOS TECNOLÓGICOS</t>
  </si>
  <si>
    <t>tampão
161125</t>
  </si>
  <si>
    <t>8.1</t>
  </si>
  <si>
    <t>5.1</t>
  </si>
  <si>
    <t>SEIL/2016</t>
  </si>
  <si>
    <t>3.20</t>
  </si>
  <si>
    <t>7.1</t>
  </si>
  <si>
    <t>Pintura de ligação com RR-1C - exclusive emulsão</t>
  </si>
  <si>
    <t>Fornecimento de emulsão RR-1C - imprimação</t>
  </si>
  <si>
    <t>Fornecimento de emulsão RR-1C - pintura de ligaçãp</t>
  </si>
  <si>
    <t>Fornecimento de CAP - CBUQ (Quantidade menor que 10000 toneladas)</t>
  </si>
  <si>
    <t>SERVIÇOS DE URBANIZAÇÃO</t>
  </si>
  <si>
    <t>Critério Econômico de Elegibilidade</t>
  </si>
  <si>
    <t>PAVIMENTAÇÃO</t>
  </si>
  <si>
    <t>PROGRAMA PARANÁ URBANO 3</t>
  </si>
  <si>
    <t>VIABILIDADE DO PROJETO</t>
  </si>
  <si>
    <t xml:space="preserve">&lt;= </t>
  </si>
  <si>
    <t>Valor do Investimento  =</t>
  </si>
  <si>
    <t>PRAÇA</t>
  </si>
  <si>
    <t>INDICADOR ECONÔMICO ( VALOR DO INVESTIMENTO / ÁREA URBANIZADA)</t>
  </si>
  <si>
    <t>Valor do Investimento - ( R$ )</t>
  </si>
  <si>
    <t>Área Urbanizada - ( m2 )</t>
  </si>
  <si>
    <t xml:space="preserve">Valor do Investimento  </t>
  </si>
  <si>
    <t>SINAPI</t>
  </si>
  <si>
    <t>7.4</t>
  </si>
  <si>
    <t>aço
ca 50</t>
  </si>
  <si>
    <t>aço
ca 25</t>
  </si>
  <si>
    <t>Concr
18 mpa</t>
  </si>
  <si>
    <t xml:space="preserve">1 - </t>
  </si>
  <si>
    <t>PAVIMENTAÇÃO (IMPLANTAÇÃO - RESTAURAÇÃO DE PAVIMENTO - IMPLASNTAÇÃO + RECAPE)</t>
  </si>
  <si>
    <r>
      <t xml:space="preserve">PRAZOS E ÁREAS MÁXIMAS DE </t>
    </r>
    <r>
      <rPr>
        <b/>
        <sz val="16"/>
        <color theme="1"/>
        <rFont val="Calibri"/>
        <family val="2"/>
        <scheme val="minor"/>
      </rPr>
      <t>PAVIMENTAÇÃO</t>
    </r>
    <r>
      <rPr>
        <b/>
        <sz val="11"/>
        <color theme="1"/>
        <rFont val="Calibri"/>
        <family val="2"/>
        <scheme val="minor"/>
      </rPr>
      <t xml:space="preserve"> PARA O CRONOGRMA</t>
    </r>
  </si>
  <si>
    <t>Prazo do</t>
  </si>
  <si>
    <t>Áreas Máximas</t>
  </si>
  <si>
    <t>Cronograma  (N)</t>
  </si>
  <si>
    <t>de</t>
  </si>
  <si>
    <t>até</t>
  </si>
  <si>
    <t>3 meses</t>
  </si>
  <si>
    <t>-</t>
  </si>
  <si>
    <t>2.000  m2</t>
  </si>
  <si>
    <t>4 meses</t>
  </si>
  <si>
    <t>4.000  m2</t>
  </si>
  <si>
    <t>5 meses</t>
  </si>
  <si>
    <t>8.000  m2</t>
  </si>
  <si>
    <t>Obs.</t>
  </si>
  <si>
    <t>Para áreas maiores que 30.000 m2  :    Dividir em "Lotes"</t>
  </si>
  <si>
    <t>6 meses</t>
  </si>
  <si>
    <t>13.000  m2</t>
  </si>
  <si>
    <t>7 meses</t>
  </si>
  <si>
    <t>18.000  m2</t>
  </si>
  <si>
    <t>8 meses</t>
  </si>
  <si>
    <t>24.000  m2</t>
  </si>
  <si>
    <t>9 meses</t>
  </si>
  <si>
    <t>30.000  m2</t>
  </si>
  <si>
    <t>RECAPE ASFÁLTICO</t>
  </si>
  <si>
    <t>PRAZOS E ÁREAS MÁXIMAS DE RECAPE PARA O CRONOGRMA</t>
  </si>
  <si>
    <t>10.000  m2</t>
  </si>
  <si>
    <t>15.000  m2</t>
  </si>
  <si>
    <t>Para áreas maiores que 60.000 m2  :    Dividir em "Lotes"</t>
  </si>
  <si>
    <t>20.000  m2</t>
  </si>
  <si>
    <t>40.000  m2</t>
  </si>
  <si>
    <t>50.000  m2</t>
  </si>
  <si>
    <t>60.000  m2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</si>
  <si>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</si>
  <si>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Edital no Município</t>
  </si>
  <si>
    <t>Procedimento prévio</t>
  </si>
  <si>
    <t>Início previsto da Obra</t>
  </si>
  <si>
    <t>Data</t>
  </si>
  <si>
    <t>Dias</t>
  </si>
  <si>
    <t>Contrapartida do Proponente</t>
  </si>
  <si>
    <t>Quantidade:</t>
  </si>
  <si>
    <t>CRONOGRAMA FÍSICO FINANCEIRO</t>
  </si>
  <si>
    <t>Valor Total</t>
  </si>
  <si>
    <t>GRUPO</t>
  </si>
  <si>
    <t>SERVIÇOS</t>
  </si>
  <si>
    <t>PARCELAS (%)</t>
  </si>
  <si>
    <t>% S/</t>
  </si>
  <si>
    <t>Controle</t>
  </si>
  <si>
    <t>ITEM</t>
  </si>
  <si>
    <t>ITEM (R$)</t>
  </si>
  <si>
    <t>Data Início</t>
  </si>
  <si>
    <t>Data Fim</t>
  </si>
  <si>
    <t>TOTAIS</t>
  </si>
  <si>
    <t>PARCELAS</t>
  </si>
  <si>
    <t>Nº DE</t>
  </si>
  <si>
    <t>MESES</t>
  </si>
  <si>
    <t>1T</t>
  </si>
  <si>
    <t>R$</t>
  </si>
  <si>
    <t>1C</t>
  </si>
  <si>
    <t>CONTRAPARTIDA</t>
  </si>
  <si>
    <t>2T</t>
  </si>
  <si>
    <t>2C</t>
  </si>
  <si>
    <t>3T</t>
  </si>
  <si>
    <t>3C</t>
  </si>
  <si>
    <t>4T</t>
  </si>
  <si>
    <t>4C</t>
  </si>
  <si>
    <t>5T</t>
  </si>
  <si>
    <t>5C</t>
  </si>
  <si>
    <t>6T</t>
  </si>
  <si>
    <t>6C</t>
  </si>
  <si>
    <t>7T</t>
  </si>
  <si>
    <t>7C</t>
  </si>
  <si>
    <t>8T</t>
  </si>
  <si>
    <t>8C</t>
  </si>
  <si>
    <t>9T</t>
  </si>
  <si>
    <t>9C</t>
  </si>
  <si>
    <t>10T</t>
  </si>
  <si>
    <t>10C</t>
  </si>
  <si>
    <t>11T</t>
  </si>
  <si>
    <t>11C</t>
  </si>
  <si>
    <t>T</t>
  </si>
  <si>
    <t>C</t>
  </si>
  <si>
    <t>FATURAMENTO MENSAL PREVISTO</t>
  </si>
  <si>
    <t>MENSAL PARCIAL PREVISTO EM %</t>
  </si>
  <si>
    <t>MENSAL ACUMULADO PREVISTO EM %</t>
  </si>
  <si>
    <t>Resp. Técnico:</t>
  </si>
  <si>
    <t>Assinatura:</t>
  </si>
  <si>
    <t>Prefeito:</t>
  </si>
  <si>
    <t>data:</t>
  </si>
  <si>
    <t>___________________________</t>
  </si>
  <si>
    <t>__________________</t>
  </si>
  <si>
    <t>Empréstimo</t>
  </si>
  <si>
    <t>COMPOSIÇÃO DOS RECURSOS (FINANCIAMENTO E CONTRAPARTIDA)</t>
  </si>
  <si>
    <t>FINANCIAMENTO</t>
  </si>
  <si>
    <t>561100A</t>
  </si>
  <si>
    <t>589420A</t>
  </si>
  <si>
    <t>589420B</t>
  </si>
  <si>
    <t>TRAÇOS DE CBUQ</t>
  </si>
  <si>
    <t>Nome da Usina / Pedreira</t>
  </si>
  <si>
    <t>Local da Pedreira</t>
  </si>
  <si>
    <t>Local da Usina</t>
  </si>
  <si>
    <t>Composição dos agregados (SEM LIGANTE)</t>
  </si>
  <si>
    <t>MATERIAL</t>
  </si>
  <si>
    <t>Utilização</t>
  </si>
  <si>
    <t>Brita "a"</t>
  </si>
  <si>
    <t>Brita "b"</t>
  </si>
  <si>
    <t>Brita "c"</t>
  </si>
  <si>
    <t>Nome da Brita</t>
  </si>
  <si>
    <t>brita 3/4</t>
  </si>
  <si>
    <t>Pedrisco</t>
  </si>
  <si>
    <t>Pó de pedra</t>
  </si>
  <si>
    <t>Cal Hidratada CH-1 ou Filler</t>
  </si>
  <si>
    <t>% sem ligante</t>
  </si>
  <si>
    <t>Total agregados</t>
  </si>
  <si>
    <t>resumido</t>
  </si>
  <si>
    <t>Composição da MASSA (COM LIGANTE)</t>
  </si>
  <si>
    <t>% COM ligante</t>
  </si>
  <si>
    <t>Traço</t>
  </si>
  <si>
    <t>Total da MASSA</t>
  </si>
  <si>
    <t>Total de LIGANTE</t>
  </si>
  <si>
    <t>TRAÇO 1</t>
  </si>
  <si>
    <t>TRAÇO 3</t>
  </si>
  <si>
    <t>TRAÇO 2</t>
  </si>
  <si>
    <t>"FAIXA B" DER</t>
  </si>
  <si>
    <t>Camada de Ligação  -  BINDER</t>
  </si>
  <si>
    <t>conferência</t>
  </si>
  <si>
    <t>DADOS DO PROJETO MARSHAL</t>
  </si>
  <si>
    <t>FAIXA</t>
  </si>
  <si>
    <t xml:space="preserve">DENSIDADE APARENTE DA MASSA </t>
  </si>
  <si>
    <t>TEÔR ÓTIMO DE LIGANTE</t>
  </si>
  <si>
    <t>% DE CADA AGREGADO</t>
  </si>
  <si>
    <t>COMPOSIÇÃO</t>
  </si>
  <si>
    <t>CÁLCULO DO DA COMPOSIÇÃO</t>
  </si>
  <si>
    <t>Agregados sem Betume</t>
  </si>
  <si>
    <t>Sem Betume</t>
  </si>
  <si>
    <t>CÁLCULO DO DO TRAÇO</t>
  </si>
  <si>
    <t>CÁLCULO DO PERCENTUAL DE AGREADOS NA NASSA</t>
  </si>
  <si>
    <t>Observação :</t>
  </si>
  <si>
    <t xml:space="preserve">O perceentual de Agregados na Massa é: </t>
  </si>
  <si>
    <t>100,00% menos o percentual de betume</t>
  </si>
  <si>
    <t>Percentual de Agregados na Massa</t>
  </si>
  <si>
    <t>Teôr Ótimo de Betume</t>
  </si>
  <si>
    <t>Total da Massa</t>
  </si>
  <si>
    <t>Agregados COM Betume</t>
  </si>
  <si>
    <t>Agregados SEM Betume</t>
  </si>
  <si>
    <t>TRAÇO 4</t>
  </si>
  <si>
    <t>DIGITAR SÓ  NAS CÉLULAS COLORIDAS</t>
  </si>
  <si>
    <t>Paver ou Bloket  e=6cm - sem colchão</t>
  </si>
  <si>
    <t>Paver ou Bloket  Colorido e=6cm - sem colchão</t>
  </si>
  <si>
    <t>tubo ø60
610.600</t>
  </si>
  <si>
    <t>l.</t>
  </si>
  <si>
    <t>U</t>
  </si>
  <si>
    <t>V</t>
  </si>
  <si>
    <t>W</t>
  </si>
  <si>
    <t>X</t>
  </si>
  <si>
    <t>Plantio de Árvore com altura até 2m</t>
  </si>
  <si>
    <t>Imprimação com Emulsão RR-1C- exclusive emulsão</t>
  </si>
  <si>
    <t>Sobre os preços coletados no Site da ANP foram incluídos os impostos, PIS/COFINS (3,65%) e ICMS (18,00%), totalizando 21,65%.</t>
  </si>
  <si>
    <t>Grupo de serviço: LIGANTES BETUMINOSOS</t>
  </si>
  <si>
    <t>Fornecimento de asfalto diluído CM-30</t>
  </si>
  <si>
    <t>t</t>
  </si>
  <si>
    <t>Fornecimento de CAP-30/45</t>
  </si>
  <si>
    <t>Fornecimento de CAP-50/70</t>
  </si>
  <si>
    <t>Fornecimento de emulsão asfáltica EAI p/imprimação</t>
  </si>
  <si>
    <t>Fornecimento de emulsão asfáltica RC-1C-E com polímero</t>
  </si>
  <si>
    <t>Fornecimento de emulsão asfáltica RL-1C</t>
  </si>
  <si>
    <t>Fornecimento de emulsão asfáltica RM-1C</t>
  </si>
  <si>
    <t>Fornecimento de emulsão asfáltica RM-2C</t>
  </si>
  <si>
    <t>Fornecimento de emulsão asfáltica RR-1C</t>
  </si>
  <si>
    <t>Fornecimento de emulsão asfáltica RR-1C-E com polímero</t>
  </si>
  <si>
    <t>Fornecimento de emulsão asfáltica RR-2C</t>
  </si>
  <si>
    <t>Fornecimento de emulsão asfáltica RR-2C-E com polímero</t>
  </si>
  <si>
    <r>
      <rPr>
        <b/>
        <sz val="9"/>
        <rFont val="Arial"/>
        <family val="2"/>
      </rPr>
      <t>Código</t>
    </r>
  </si>
  <si>
    <r>
      <rPr>
        <b/>
        <sz val="9"/>
        <rFont val="Arial"/>
        <family val="2"/>
      </rPr>
      <t>Descrição do Serviço</t>
    </r>
  </si>
  <si>
    <r>
      <rPr>
        <b/>
        <sz val="9"/>
        <rFont val="Arial"/>
        <family val="2"/>
      </rPr>
      <t>Unidade</t>
    </r>
  </si>
  <si>
    <t>DER janeiro 2021</t>
  </si>
  <si>
    <t>Custo 
Unitário
(+21,65%)</t>
  </si>
  <si>
    <t>Projeto:</t>
  </si>
  <si>
    <t>Origem</t>
  </si>
  <si>
    <t>SFM</t>
  </si>
  <si>
    <t>Local da Obra:</t>
  </si>
  <si>
    <t>74209/1</t>
  </si>
  <si>
    <t>PLACA DE OBRA 4,00 X 2,00 M, EM CHAPA DE ACO GALVANIZADO, INCLUSIVE ARMAÇÃO EM MADEIRA E PONTALETES</t>
  </si>
  <si>
    <t>Orçacivil</t>
  </si>
  <si>
    <t>menor valor
Entre:
ANP-Greca-CBB</t>
  </si>
  <si>
    <t>Custo 
Unitário
SEM 
IMPOSTO</t>
  </si>
  <si>
    <t>Custo 
Unitário
Paranacidade
Maio 2021
2ª  PUBLICAÇÃO</t>
  </si>
  <si>
    <t>Custo 
Unitário
Paranacidade
Maio 2021
1ª  PUBLICAÇÃO</t>
  </si>
  <si>
    <t>ANP1</t>
  </si>
  <si>
    <t>ANP2</t>
  </si>
  <si>
    <t>Preços de distribuição de produtos asfálticos</t>
  </si>
  <si>
    <t>Preços de produtores e importadores de derivados de petróleo</t>
  </si>
  <si>
    <t>PARANÁ</t>
  </si>
  <si>
    <t>REGIÃO SUL</t>
  </si>
  <si>
    <t>ANP3</t>
  </si>
  <si>
    <t>produtores sul</t>
  </si>
  <si>
    <t>Fornecimento de asfalto modificado por borracha AB8</t>
  </si>
  <si>
    <t>606700A</t>
  </si>
  <si>
    <t>534906K</t>
  </si>
  <si>
    <t>534906L</t>
  </si>
  <si>
    <t>570000D</t>
  </si>
  <si>
    <t>810250E</t>
  </si>
  <si>
    <t>Colchão de pó de pedra para assentamento de calçadas</t>
  </si>
  <si>
    <t>603900D</t>
  </si>
  <si>
    <t>589000K</t>
  </si>
  <si>
    <t>605000G</t>
  </si>
  <si>
    <t>531000A</t>
  </si>
  <si>
    <t>610400C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</si>
  <si>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</si>
  <si>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Extração de Corpo de Prova de Concreto Asfáltico com Sonda Rotativa</t>
  </si>
  <si>
    <t>Mobilização e Desmobilização de Equipamento e Equipe para Extração de Corpos de Prova da Capa Asfáltica</t>
  </si>
  <si>
    <t>Fornecimento de asfalto modificado por borracha AB22</t>
  </si>
  <si>
    <t>Fornecimento de emulsão asfáltica RL-1C-E com polímero</t>
  </si>
  <si>
    <t>Fornecimento de emulsão asfáltica RM-1C-E com polímero</t>
  </si>
  <si>
    <t>Greca 
Asfáltos
+ 3,65%</t>
  </si>
  <si>
    <t>CBB 
Asfáltos
+ 18,00%</t>
  </si>
  <si>
    <t>brasil</t>
  </si>
  <si>
    <t>Paraná</t>
  </si>
  <si>
    <t>Fornecimento de CAP-modifocado por polímero elastomérico 55/75-E</t>
  </si>
  <si>
    <t>Fornecimento de CAP-modifocado por polímero elastomérico 60/85-E</t>
  </si>
  <si>
    <t>Fornecimento de CAP-modifocado por polímero elastomérico 65/90-E</t>
  </si>
  <si>
    <t>Fornecimento de CAP-modifocado por polímero elastomérico SBS 55/75</t>
  </si>
  <si>
    <t>Fornecimento de CAP-modifocado por polímero elastomérico SBS 60/85.</t>
  </si>
  <si>
    <t>Fornecimento de CAP-modifocado por polímero elastomérico SBS 65/90</t>
  </si>
  <si>
    <t>PAISAGISMO / URBANISMO</t>
  </si>
  <si>
    <t>Custo 
Unitário
Paranacidade
Agosto 2021
3ª  PUBLICAÇÃO</t>
  </si>
  <si>
    <t>ANP 1 
(Produtores)
 15 NOVEMBRO / 2021</t>
  </si>
  <si>
    <t>(Pesquisa Curitiba)
AGOSTO / 2021</t>
  </si>
  <si>
    <t>Custo 
Unitário
Paranacidade
Novembro 2021
4ª  PUBLICAÇÃO</t>
  </si>
  <si>
    <t>ANP 2 
(Distribuidores Estado)
FEVEREIRO / 2022</t>
  </si>
  <si>
    <t>ANP 3 
(Distribuidores Região Sul)
FEVEREIRO / 2022</t>
  </si>
  <si>
    <t>Custo 
Unitário
DER
fev/2022</t>
  </si>
  <si>
    <t>Custo 
Unitário
Paranacidade
Fevereiro 2022
5ª  PUBLICAÇÃO</t>
  </si>
  <si>
    <t>anpfev - DISTRIBUIDOR</t>
  </si>
  <si>
    <t>EMULSAO ASFALTICA ANIONICA</t>
  </si>
  <si>
    <t xml:space="preserve">L     </t>
  </si>
  <si>
    <t>CR</t>
  </si>
  <si>
    <t>6,01</t>
  </si>
  <si>
    <t>EMULSAO ASFALTICA CATIONICA RL-1C PARA USO EM PAVIMENTACAO ASFALTICA (COLETADO CAIXA NA ANP ACRESCIDO DE ICMS)</t>
  </si>
  <si>
    <t xml:space="preserve">T     </t>
  </si>
  <si>
    <t xml:space="preserve">C </t>
  </si>
  <si>
    <t>3.535,55</t>
  </si>
  <si>
    <t>EMULSAO ASFALTICA CATIONICA RR-2C PARA USO EM PAVIMENTACAO ASFALTICA (COLETADO CAIXA NA ANP ACRESCIDO DE ICMS)</t>
  </si>
  <si>
    <t xml:space="preserve">KG    </t>
  </si>
  <si>
    <t>3,81</t>
  </si>
  <si>
    <t>EMULSAO EXPLOSIVA EM CARTUCHOS DE 1" X 12", DENSIDADE 1.15 G/CM3, INICIACAO ESPOLETA N. 8 / CORDEL</t>
  </si>
  <si>
    <t>AS</t>
  </si>
  <si>
    <t>26,73</t>
  </si>
  <si>
    <t>EMULSAO EXPLOSIVA EM CARTUCHOS DE 1" X 24", DENSIDADE 1.15 G/CM3, INICIACAO ESPOLETA N. 8 / CORDEL</t>
  </si>
  <si>
    <t>EMULSAO EXPLOSIVA EM CARTUCHOS DE 1" X 8", DENSIDADE 1.15 G/CM3, INICIACAO ESPOLETA N. 8 / CORDEL</t>
  </si>
  <si>
    <t>EMULSAO EXPLOSIVA EM CARTUCHOS DE 2 1/2" X 24", DENSIDADE 1.15 G/CM3, INICIACAO ESPOLETA N. 8 / CORDEL</t>
  </si>
  <si>
    <t>20,23</t>
  </si>
  <si>
    <t>EMULSAO EXPLOSIVA EM CARTUCHOS DE 2 1/4" X 24", DENSIDADE 1.15 G/CM3, INICIACAO ESPOLETA N. 8 / CORDEL</t>
  </si>
  <si>
    <t>EMULSAO EXPLOSIVA EM CARTUCHOS DE 2" X 24", DENSIDADE 1.15 G/CM3, INICIACAO ESPOLETA N. 8 / CORDEL</t>
  </si>
  <si>
    <t>ASFALTO MODIFICADO TIPO I - NBR 9910 (ASFALTO OXIDADO PARA IMPERMEABILIZACAO, COEFICIENTE DE PENETRACAO 25-40)</t>
  </si>
  <si>
    <t>8,71</t>
  </si>
  <si>
    <t>ASFALTO MODIFICADO TIPO II - NBR 9910 (ASFALTO OXIDADO PARA IMPERMEABILIZACAO, COEFICIENTE DE PENETRACAO 20-35)</t>
  </si>
  <si>
    <t>10,32</t>
  </si>
  <si>
    <t>ASFALTO MODIFICADO TIPO III - NBR 9910 (ASFALTO OXIDADO PARA IMPERMEABILIZACAO, COEFICIENTE DE PENETRACAO 15-25)</t>
  </si>
  <si>
    <t>11,58</t>
  </si>
  <si>
    <t>CIMENTO ASFALTICO DE PETROLEO A GRANEL (CAP) 50/70 (COLETADO CAIXA NA ANP ACRESCIDO DE ICMS)</t>
  </si>
  <si>
    <t>5.061,15</t>
  </si>
  <si>
    <t xml:space="preserve">840000B </t>
  </si>
  <si>
    <t>Coronel Vivida</t>
  </si>
  <si>
    <t>Pavimentação de Vias Urbanas em CBUQ</t>
  </si>
  <si>
    <t>Loteamento Sol Nascente</t>
  </si>
  <si>
    <t>54</t>
  </si>
  <si>
    <t>01</t>
  </si>
  <si>
    <t>Escavação de mat. 1a. cat./com transporte</t>
  </si>
  <si>
    <t>Fincadinha de concreto - (7x20cm-0,014m3/m)</t>
  </si>
  <si>
    <r>
      <rPr>
        <b/>
        <sz val="8"/>
        <rFont val="Arial"/>
        <family val="2"/>
      </rPr>
      <t>CBUQ - CAPA Traço 3</t>
    </r>
    <r>
      <rPr>
        <sz val="8"/>
        <rFont val="Arial"/>
        <family val="2"/>
      </rPr>
      <t xml:space="preserve"> (Quantidade menor que 10000 toneladas)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</si>
</sst>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0.000"/>
    <numFmt numFmtId="167" formatCode="0.0000"/>
    <numFmt numFmtId="171" formatCode="&quot;R$&quot;\ #,##0.00"/>
    <numFmt numFmtId="173" formatCode="#,##0.00\ &quot;m2&quot;_);[Red]\(#,##0.00\ &quot;m2&quot;\)"/>
    <numFmt numFmtId="174" formatCode="#,##0.00\ &quot;R$/m2&quot;_);[Red]\(#,##0.00\ &quot;R$/m2&quot;\)"/>
    <numFmt numFmtId="175" formatCode="#,##0.00\ &quot;m2&quot;"/>
    <numFmt numFmtId="176" formatCode="d/m/yy;@"/>
    <numFmt numFmtId="177" formatCode="#,##0_ ;[Red]\-#,##0\ "/>
    <numFmt numFmtId="178" formatCode="0.000%"/>
    <numFmt numFmtId="179" formatCode="#,##0.000"/>
    <numFmt numFmtId="180" formatCode="0.00000"/>
  </numFmts>
  <fonts count="42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6"/>
      <color theme="1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u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8"/>
      <color indexed="12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2"/>
      <color theme="1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sz val="8"/>
      <color indexed="9"/>
      <name val="Arial"/>
      <family val="2"/>
    </font>
    <font>
      <b/>
      <i/>
      <u/>
      <sz val="10"/>
      <color rgb="FF000000"/>
      <name val="Arial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bgColor rgb="FF92D050"/>
      </patternFill>
    </fill>
    <fill>
      <patternFill patternType="lightGray">
        <bgColor theme="0"/>
      </patternFill>
    </fill>
    <fill>
      <patternFill patternType="solid">
        <fgColor theme="2" tint="-9.9978637043366805E-2"/>
        <bgColor indexed="64"/>
      </patternFill>
    </fill>
  </fills>
  <borders count="16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/>
      <diagonal/>
    </border>
    <border>
      <left style="medium">
        <color indexed="64"/>
      </left>
      <right style="mediumDashDot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">
        <color indexed="64"/>
      </right>
      <top/>
      <bottom/>
      <diagonal/>
    </border>
    <border>
      <left style="mediumDashDot">
        <color indexed="64"/>
      </left>
      <right/>
      <top style="medium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 style="mediumDashDot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6">
    <xf numFmtId="0" fontId="0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5" fillId="0" borderId="0"/>
    <xf numFmtId="0" fontId="17" fillId="0" borderId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638">
    <xf numFmtId="0" fontId="0" fillId="0" borderId="0" xfId="0"/>
    <xf numFmtId="167" fontId="10" fillId="0" borderId="6" xfId="1" applyNumberFormat="1" applyFont="1" applyFill="1" applyBorder="1" applyAlignment="1">
      <alignment horizontal="center"/>
    </xf>
    <xf numFmtId="0" fontId="0" fillId="0" borderId="0" xfId="0" applyFill="1"/>
    <xf numFmtId="0" fontId="8" fillId="0" borderId="8" xfId="0" applyFont="1" applyFill="1" applyBorder="1" applyAlignment="1">
      <alignment horizontal="left"/>
    </xf>
    <xf numFmtId="0" fontId="10" fillId="0" borderId="0" xfId="0" applyFont="1" applyFill="1" applyAlignment="1"/>
    <xf numFmtId="1" fontId="10" fillId="0" borderId="6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/>
    <xf numFmtId="0" fontId="8" fillId="0" borderId="9" xfId="0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2" fontId="8" fillId="0" borderId="6" xfId="1" applyNumberFormat="1" applyFont="1" applyFill="1" applyBorder="1" applyAlignment="1">
      <alignment horizontal="center" wrapText="1"/>
    </xf>
    <xf numFmtId="0" fontId="8" fillId="0" borderId="27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2" fontId="8" fillId="0" borderId="6" xfId="1" applyNumberFormat="1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textRotation="180" wrapText="1"/>
    </xf>
    <xf numFmtId="0" fontId="8" fillId="0" borderId="7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wrapText="1"/>
    </xf>
    <xf numFmtId="2" fontId="10" fillId="0" borderId="2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1" applyFont="1" applyFill="1"/>
    <xf numFmtId="0" fontId="10" fillId="0" borderId="0" xfId="1" applyFont="1" applyFill="1" applyAlignment="1"/>
    <xf numFmtId="0" fontId="5" fillId="0" borderId="0" xfId="1" applyFill="1"/>
    <xf numFmtId="0" fontId="5" fillId="0" borderId="0" xfId="1" applyFill="1" applyAlignment="1">
      <alignment horizontal="center"/>
    </xf>
    <xf numFmtId="0" fontId="6" fillId="0" borderId="0" xfId="1" applyFont="1" applyFill="1"/>
    <xf numFmtId="0" fontId="7" fillId="0" borderId="0" xfId="1" applyFont="1" applyFill="1"/>
    <xf numFmtId="2" fontId="8" fillId="0" borderId="0" xfId="1" applyNumberFormat="1" applyFont="1" applyFill="1" applyBorder="1" applyAlignment="1">
      <alignment horizontal="center" wrapText="1"/>
    </xf>
    <xf numFmtId="0" fontId="10" fillId="2" borderId="0" xfId="0" applyFont="1" applyFill="1" applyAlignment="1"/>
    <xf numFmtId="0" fontId="3" fillId="2" borderId="9" xfId="0" applyFont="1" applyFill="1" applyBorder="1" applyAlignment="1">
      <alignment horizontal="left"/>
    </xf>
    <xf numFmtId="1" fontId="10" fillId="2" borderId="7" xfId="1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3" fillId="2" borderId="8" xfId="0" applyFont="1" applyFill="1" applyBorder="1" applyAlignment="1">
      <alignment horizontal="left"/>
    </xf>
    <xf numFmtId="1" fontId="10" fillId="2" borderId="6" xfId="1" applyNumberFormat="1" applyFont="1" applyFill="1" applyBorder="1" applyAlignment="1">
      <alignment horizontal="center"/>
    </xf>
    <xf numFmtId="2" fontId="8" fillId="2" borderId="0" xfId="0" applyNumberFormat="1" applyFont="1" applyFill="1" applyAlignment="1">
      <alignment horizontal="center"/>
    </xf>
    <xf numFmtId="166" fontId="8" fillId="2" borderId="0" xfId="0" applyNumberFormat="1" applyFont="1" applyFill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20" fillId="0" borderId="12" xfId="14" applyFont="1" applyBorder="1" applyAlignment="1">
      <alignment horizontal="centerContinuous"/>
    </xf>
    <xf numFmtId="0" fontId="5" fillId="0" borderId="10" xfId="14" applyBorder="1" applyAlignment="1">
      <alignment horizontal="centerContinuous"/>
    </xf>
    <xf numFmtId="0" fontId="5" fillId="0" borderId="13" xfId="14" applyBorder="1" applyAlignment="1">
      <alignment horizontal="centerContinuous"/>
    </xf>
    <xf numFmtId="0" fontId="5" fillId="0" borderId="0" xfId="14" applyProtection="1">
      <protection locked="0"/>
    </xf>
    <xf numFmtId="0" fontId="16" fillId="0" borderId="14" xfId="14" applyFont="1" applyBorder="1" applyAlignment="1">
      <alignment horizontal="left"/>
    </xf>
    <xf numFmtId="0" fontId="18" fillId="0" borderId="3" xfId="14" applyFont="1" applyBorder="1" applyAlignment="1">
      <alignment horizontal="centerContinuous"/>
    </xf>
    <xf numFmtId="0" fontId="18" fillId="0" borderId="34" xfId="14" applyFont="1" applyBorder="1" applyAlignment="1">
      <alignment horizontal="centerContinuous"/>
    </xf>
    <xf numFmtId="0" fontId="5" fillId="0" borderId="0" xfId="14" applyAlignment="1">
      <alignment horizontal="center"/>
    </xf>
    <xf numFmtId="0" fontId="5" fillId="0" borderId="15" xfId="14" applyBorder="1" applyAlignment="1">
      <alignment horizontal="center"/>
    </xf>
    <xf numFmtId="0" fontId="20" fillId="0" borderId="16" xfId="14" applyFont="1" applyBorder="1" applyAlignment="1">
      <alignment horizontal="centerContinuous"/>
    </xf>
    <xf numFmtId="0" fontId="5" fillId="0" borderId="11" xfId="14" applyBorder="1" applyAlignment="1">
      <alignment horizontal="centerContinuous"/>
    </xf>
    <xf numFmtId="0" fontId="5" fillId="0" borderId="17" xfId="14" applyBorder="1" applyAlignment="1">
      <alignment horizontal="centerContinuous"/>
    </xf>
    <xf numFmtId="0" fontId="5" fillId="0" borderId="0" xfId="14" applyAlignment="1">
      <alignment horizontal="centerContinuous"/>
    </xf>
    <xf numFmtId="0" fontId="5" fillId="0" borderId="15" xfId="14" applyBorder="1" applyAlignment="1">
      <alignment horizontal="centerContinuous"/>
    </xf>
    <xf numFmtId="0" fontId="5" fillId="0" borderId="10" xfId="14" applyBorder="1"/>
    <xf numFmtId="0" fontId="18" fillId="0" borderId="71" xfId="14" applyFont="1" applyBorder="1" applyAlignment="1">
      <alignment horizontal="center"/>
    </xf>
    <xf numFmtId="0" fontId="5" fillId="0" borderId="11" xfId="14" applyBorder="1"/>
    <xf numFmtId="0" fontId="5" fillId="0" borderId="12" xfId="14" applyBorder="1"/>
    <xf numFmtId="0" fontId="5" fillId="0" borderId="13" xfId="14" applyBorder="1"/>
    <xf numFmtId="0" fontId="18" fillId="0" borderId="16" xfId="14" applyFont="1" applyBorder="1" applyAlignment="1">
      <alignment horizontal="centerContinuous"/>
    </xf>
    <xf numFmtId="0" fontId="18" fillId="0" borderId="72" xfId="14" applyFont="1" applyBorder="1"/>
    <xf numFmtId="0" fontId="5" fillId="0" borderId="70" xfId="14" applyBorder="1"/>
    <xf numFmtId="0" fontId="21" fillId="0" borderId="73" xfId="14" quotePrefix="1" applyFont="1" applyBorder="1" applyAlignment="1">
      <alignment horizontal="center"/>
    </xf>
    <xf numFmtId="0" fontId="21" fillId="0" borderId="0" xfId="14" quotePrefix="1" applyFont="1" applyAlignment="1">
      <alignment horizontal="left" indent="2"/>
    </xf>
    <xf numFmtId="0" fontId="18" fillId="0" borderId="73" xfId="14" applyFont="1" applyBorder="1" applyAlignment="1">
      <alignment horizontal="center"/>
    </xf>
    <xf numFmtId="0" fontId="18" fillId="0" borderId="0" xfId="14" quotePrefix="1" applyFont="1" applyAlignment="1">
      <alignment horizontal="left" indent="2"/>
    </xf>
    <xf numFmtId="0" fontId="18" fillId="0" borderId="71" xfId="14" applyFont="1" applyBorder="1"/>
    <xf numFmtId="3" fontId="19" fillId="0" borderId="11" xfId="16" applyNumberFormat="1" applyFont="1" applyBorder="1" applyAlignment="1">
      <alignment horizontal="left" indent="8"/>
    </xf>
    <xf numFmtId="0" fontId="19" fillId="0" borderId="11" xfId="14" applyFont="1" applyBorder="1"/>
    <xf numFmtId="1" fontId="19" fillId="0" borderId="17" xfId="14" applyNumberFormat="1" applyFont="1" applyBorder="1" applyAlignment="1">
      <alignment horizontal="center"/>
    </xf>
    <xf numFmtId="20" fontId="5" fillId="0" borderId="0" xfId="14" applyNumberFormat="1" applyProtection="1">
      <protection locked="0"/>
    </xf>
    <xf numFmtId="0" fontId="8" fillId="2" borderId="8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167" fontId="10" fillId="2" borderId="6" xfId="1" applyNumberFormat="1" applyFont="1" applyFill="1" applyBorder="1" applyAlignment="1">
      <alignment horizontal="center"/>
    </xf>
    <xf numFmtId="0" fontId="0" fillId="2" borderId="0" xfId="0" applyFill="1"/>
    <xf numFmtId="0" fontId="22" fillId="9" borderId="12" xfId="18" applyFont="1" applyFill="1" applyBorder="1" applyAlignment="1">
      <alignment horizontal="right"/>
    </xf>
    <xf numFmtId="0" fontId="22" fillId="9" borderId="10" xfId="18" applyFont="1" applyFill="1" applyBorder="1"/>
    <xf numFmtId="0" fontId="2" fillId="9" borderId="13" xfId="18" applyFill="1" applyBorder="1"/>
    <xf numFmtId="0" fontId="2" fillId="0" borderId="0" xfId="18"/>
    <xf numFmtId="0" fontId="2" fillId="9" borderId="14" xfId="18" applyFill="1" applyBorder="1"/>
    <xf numFmtId="0" fontId="22" fillId="9" borderId="0" xfId="18" applyFont="1" applyFill="1"/>
    <xf numFmtId="0" fontId="2" fillId="9" borderId="0" xfId="18" applyFill="1"/>
    <xf numFmtId="0" fontId="2" fillId="9" borderId="15" xfId="18" applyFill="1" applyBorder="1"/>
    <xf numFmtId="0" fontId="24" fillId="9" borderId="36" xfId="18" applyFont="1" applyFill="1" applyBorder="1" applyAlignment="1">
      <alignment horizontal="center"/>
    </xf>
    <xf numFmtId="0" fontId="24" fillId="9" borderId="7" xfId="18" applyFont="1" applyFill="1" applyBorder="1" applyAlignment="1">
      <alignment horizontal="centerContinuous"/>
    </xf>
    <xf numFmtId="0" fontId="24" fillId="9" borderId="39" xfId="18" applyFont="1" applyFill="1" applyBorder="1" applyAlignment="1">
      <alignment horizontal="centerContinuous"/>
    </xf>
    <xf numFmtId="0" fontId="24" fillId="9" borderId="29" xfId="18" applyFont="1" applyFill="1" applyBorder="1" applyAlignment="1">
      <alignment horizontal="center"/>
    </xf>
    <xf numFmtId="0" fontId="24" fillId="9" borderId="6" xfId="18" applyFont="1" applyFill="1" applyBorder="1" applyAlignment="1">
      <alignment horizontal="center"/>
    </xf>
    <xf numFmtId="0" fontId="22" fillId="9" borderId="0" xfId="18" applyFont="1" applyFill="1" applyAlignment="1">
      <alignment horizontal="right"/>
    </xf>
    <xf numFmtId="0" fontId="22" fillId="9" borderId="0" xfId="18" applyFont="1" applyFill="1" applyAlignment="1">
      <alignment horizontal="left"/>
    </xf>
    <xf numFmtId="0" fontId="24" fillId="9" borderId="0" xfId="18" applyFont="1" applyFill="1"/>
    <xf numFmtId="0" fontId="22" fillId="9" borderId="14" xfId="18" applyFont="1" applyFill="1" applyBorder="1" applyAlignment="1">
      <alignment horizontal="right"/>
    </xf>
    <xf numFmtId="0" fontId="2" fillId="9" borderId="16" xfId="18" applyFill="1" applyBorder="1"/>
    <xf numFmtId="0" fontId="24" fillId="9" borderId="24" xfId="18" applyFont="1" applyFill="1" applyBorder="1" applyAlignment="1">
      <alignment horizontal="center"/>
    </xf>
    <xf numFmtId="0" fontId="2" fillId="9" borderId="11" xfId="18" applyFill="1" applyBorder="1"/>
    <xf numFmtId="0" fontId="2" fillId="9" borderId="17" xfId="18" applyFill="1" applyBorder="1"/>
    <xf numFmtId="0" fontId="5" fillId="0" borderId="0" xfId="14"/>
    <xf numFmtId="0" fontId="20" fillId="3" borderId="10" xfId="14" applyFont="1" applyFill="1" applyBorder="1" applyAlignment="1">
      <alignment vertical="center"/>
    </xf>
    <xf numFmtId="0" fontId="4" fillId="0" borderId="0" xfId="14" applyFont="1"/>
    <xf numFmtId="0" fontId="7" fillId="10" borderId="10" xfId="14" applyFont="1" applyFill="1" applyBorder="1" applyAlignment="1" applyProtection="1">
      <alignment horizontal="centerContinuous" vertical="center"/>
      <protection locked="0"/>
    </xf>
    <xf numFmtId="0" fontId="7" fillId="10" borderId="13" xfId="14" applyFont="1" applyFill="1" applyBorder="1" applyAlignment="1" applyProtection="1">
      <alignment horizontal="centerContinuous" vertical="center"/>
      <protection locked="0"/>
    </xf>
    <xf numFmtId="0" fontId="7" fillId="3" borderId="10" xfId="14" applyFont="1" applyFill="1" applyBorder="1" applyAlignment="1">
      <alignment horizontal="centerContinuous" vertical="center"/>
    </xf>
    <xf numFmtId="0" fontId="5" fillId="10" borderId="16" xfId="14" applyFill="1" applyBorder="1" applyAlignment="1" applyProtection="1">
      <alignment horizontal="centerContinuous" vertical="center" wrapText="1"/>
      <protection locked="0"/>
    </xf>
    <xf numFmtId="0" fontId="5" fillId="10" borderId="11" xfId="14" applyFill="1" applyBorder="1" applyAlignment="1" applyProtection="1">
      <alignment horizontal="centerContinuous" vertical="center" wrapText="1"/>
      <protection locked="0"/>
    </xf>
    <xf numFmtId="0" fontId="5" fillId="10" borderId="11" xfId="14" applyFill="1" applyBorder="1" applyAlignment="1" applyProtection="1">
      <alignment horizontal="left" vertical="center"/>
      <protection locked="0"/>
    </xf>
    <xf numFmtId="0" fontId="5" fillId="10" borderId="17" xfId="14" applyFill="1" applyBorder="1" applyAlignment="1" applyProtection="1">
      <alignment horizontal="centerContinuous" vertical="center"/>
      <protection locked="0"/>
    </xf>
    <xf numFmtId="0" fontId="5" fillId="3" borderId="16" xfId="14" applyFill="1" applyBorder="1" applyAlignment="1">
      <alignment horizontal="centerContinuous" vertical="center"/>
    </xf>
    <xf numFmtId="14" fontId="5" fillId="3" borderId="11" xfId="14" applyNumberFormat="1" applyFill="1" applyBorder="1" applyAlignment="1">
      <alignment horizontal="center" vertical="center"/>
    </xf>
    <xf numFmtId="0" fontId="5" fillId="3" borderId="11" xfId="14" applyFill="1" applyBorder="1" applyAlignment="1">
      <alignment horizontal="centerContinuous" vertical="center" wrapText="1"/>
    </xf>
    <xf numFmtId="0" fontId="5" fillId="3" borderId="11" xfId="14" applyFill="1" applyBorder="1" applyAlignment="1">
      <alignment vertical="center"/>
    </xf>
    <xf numFmtId="17" fontId="5" fillId="3" borderId="17" xfId="14" applyNumberFormat="1" applyFill="1" applyBorder="1" applyAlignment="1">
      <alignment horizontal="center" vertical="center"/>
    </xf>
    <xf numFmtId="17" fontId="5" fillId="10" borderId="11" xfId="14" applyNumberFormat="1" applyFill="1" applyBorder="1" applyAlignment="1" applyProtection="1">
      <alignment horizontal="center" vertical="center"/>
      <protection locked="0"/>
    </xf>
    <xf numFmtId="14" fontId="7" fillId="10" borderId="11" xfId="14" applyNumberFormat="1" applyFont="1" applyFill="1" applyBorder="1" applyAlignment="1" applyProtection="1">
      <alignment horizontal="center" vertical="center"/>
      <protection locked="0"/>
    </xf>
    <xf numFmtId="17" fontId="5" fillId="10" borderId="17" xfId="14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0" fillId="5" borderId="139" xfId="0" applyFont="1" applyFill="1" applyBorder="1" applyProtection="1">
      <protection locked="0"/>
    </xf>
    <xf numFmtId="0" fontId="10" fillId="5" borderId="140" xfId="0" applyFont="1" applyFill="1" applyBorder="1" applyProtection="1">
      <protection locked="0"/>
    </xf>
    <xf numFmtId="0" fontId="10" fillId="5" borderId="141" xfId="0" applyFont="1" applyFill="1" applyBorder="1" applyProtection="1">
      <protection locked="0"/>
    </xf>
    <xf numFmtId="0" fontId="10" fillId="5" borderId="142" xfId="0" applyFont="1" applyFill="1" applyBorder="1" applyProtection="1">
      <protection locked="0"/>
    </xf>
    <xf numFmtId="0" fontId="10" fillId="5" borderId="11" xfId="0" applyFont="1" applyFill="1" applyBorder="1" applyProtection="1">
      <protection locked="0"/>
    </xf>
    <xf numFmtId="0" fontId="10" fillId="5" borderId="17" xfId="0" applyFont="1" applyFill="1" applyBorder="1" applyProtection="1">
      <protection locked="0"/>
    </xf>
    <xf numFmtId="0" fontId="8" fillId="5" borderId="144" xfId="0" applyFont="1" applyFill="1" applyBorder="1" applyAlignment="1" applyProtection="1">
      <alignment horizontal="left" indent="3"/>
      <protection locked="0"/>
    </xf>
    <xf numFmtId="0" fontId="0" fillId="5" borderId="144" xfId="0" applyFill="1" applyBorder="1" applyProtection="1">
      <protection locked="0"/>
    </xf>
    <xf numFmtId="0" fontId="0" fillId="5" borderId="143" xfId="0" applyFill="1" applyBorder="1" applyProtection="1">
      <protection locked="0"/>
    </xf>
    <xf numFmtId="0" fontId="8" fillId="5" borderId="11" xfId="0" applyFont="1" applyFill="1" applyBorder="1" applyAlignment="1" applyProtection="1">
      <alignment horizontal="left" indent="3"/>
      <protection locked="0"/>
    </xf>
    <xf numFmtId="0" fontId="0" fillId="5" borderId="11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179" fontId="10" fillId="5" borderId="151" xfId="3" applyNumberFormat="1" applyFont="1" applyFill="1" applyBorder="1" applyAlignment="1" applyProtection="1">
      <alignment horizontal="left"/>
      <protection locked="0"/>
    </xf>
    <xf numFmtId="10" fontId="10" fillId="5" borderId="151" xfId="4" applyNumberFormat="1" applyFont="1" applyFill="1" applyBorder="1" applyAlignment="1" applyProtection="1">
      <alignment horizontal="left"/>
      <protection locked="0"/>
    </xf>
    <xf numFmtId="0" fontId="8" fillId="5" borderId="145" xfId="0" applyFont="1" applyFill="1" applyBorder="1" applyAlignment="1" applyProtection="1">
      <alignment horizontal="left" indent="2"/>
      <protection locked="0"/>
    </xf>
    <xf numFmtId="10" fontId="10" fillId="5" borderId="150" xfId="4" applyNumberFormat="1" applyFont="1" applyFill="1" applyBorder="1" applyAlignment="1" applyProtection="1">
      <alignment horizontal="center"/>
      <protection locked="0"/>
    </xf>
    <xf numFmtId="0" fontId="8" fillId="5" borderId="147" xfId="0" applyFont="1" applyFill="1" applyBorder="1" applyAlignment="1" applyProtection="1">
      <alignment horizontal="left" indent="2"/>
      <protection locked="0"/>
    </xf>
    <xf numFmtId="10" fontId="10" fillId="5" borderId="151" xfId="4" applyNumberFormat="1" applyFont="1" applyFill="1" applyBorder="1" applyAlignment="1" applyProtection="1">
      <alignment horizontal="center"/>
      <protection locked="0"/>
    </xf>
    <xf numFmtId="0" fontId="8" fillId="5" borderId="148" xfId="0" applyFont="1" applyFill="1" applyBorder="1" applyAlignment="1" applyProtection="1">
      <alignment horizontal="left" indent="2"/>
      <protection locked="0"/>
    </xf>
    <xf numFmtId="10" fontId="10" fillId="5" borderId="152" xfId="4" applyNumberFormat="1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left" indent="1"/>
      <protection locked="0"/>
    </xf>
    <xf numFmtId="0" fontId="3" fillId="0" borderId="15" xfId="0" applyFont="1" applyFill="1" applyBorder="1" applyAlignment="1" applyProtection="1">
      <alignment horizontal="center"/>
      <protection locked="0"/>
    </xf>
    <xf numFmtId="0" fontId="8" fillId="5" borderId="7" xfId="0" applyFont="1" applyFill="1" applyBorder="1" applyAlignment="1" applyProtection="1">
      <alignment horizontal="left" indent="2"/>
      <protection locked="0"/>
    </xf>
    <xf numFmtId="10" fontId="10" fillId="5" borderId="149" xfId="4" applyNumberFormat="1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3" fillId="0" borderId="12" xfId="0" applyFont="1" applyFill="1" applyBorder="1" applyProtection="1">
      <protection locked="0"/>
    </xf>
    <xf numFmtId="178" fontId="0" fillId="0" borderId="13" xfId="4" applyNumberFormat="1" applyFont="1" applyFill="1" applyBorder="1" applyProtection="1">
      <protection locked="0"/>
    </xf>
    <xf numFmtId="167" fontId="0" fillId="0" borderId="13" xfId="0" applyNumberFormat="1" applyFill="1" applyBorder="1" applyProtection="1">
      <protection locked="0"/>
    </xf>
    <xf numFmtId="0" fontId="3" fillId="0" borderId="14" xfId="0" applyFont="1" applyFill="1" applyBorder="1" applyAlignment="1" applyProtection="1">
      <alignment horizontal="right" indent="1"/>
      <protection locked="0"/>
    </xf>
    <xf numFmtId="178" fontId="0" fillId="0" borderId="15" xfId="4" applyNumberFormat="1" applyFont="1" applyFill="1" applyBorder="1" applyProtection="1">
      <protection locked="0"/>
    </xf>
    <xf numFmtId="167" fontId="3" fillId="0" borderId="40" xfId="3" applyNumberFormat="1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right"/>
      <protection locked="0"/>
    </xf>
    <xf numFmtId="178" fontId="0" fillId="0" borderId="17" xfId="4" applyNumberFormat="1" applyFont="1" applyFill="1" applyBorder="1" applyProtection="1">
      <protection locked="0"/>
    </xf>
    <xf numFmtId="167" fontId="3" fillId="0" borderId="17" xfId="0" applyNumberFormat="1" applyFont="1" applyFill="1" applyBorder="1" applyAlignment="1" applyProtection="1">
      <alignment horizontal="center"/>
      <protection locked="0"/>
    </xf>
    <xf numFmtId="0" fontId="3" fillId="0" borderId="61" xfId="0" applyFont="1" applyFill="1" applyBorder="1" applyAlignment="1" applyProtection="1">
      <alignment horizontal="right"/>
      <protection locked="0"/>
    </xf>
    <xf numFmtId="178" fontId="0" fillId="0" borderId="45" xfId="4" applyNumberFormat="1" applyFont="1" applyFill="1" applyBorder="1" applyProtection="1">
      <protection locked="0"/>
    </xf>
    <xf numFmtId="167" fontId="3" fillId="0" borderId="45" xfId="3" applyNumberFormat="1" applyFont="1" applyFill="1" applyBorder="1" applyAlignment="1" applyProtection="1">
      <alignment horizontal="center"/>
      <protection locked="0"/>
    </xf>
    <xf numFmtId="0" fontId="3" fillId="0" borderId="56" xfId="0" applyFont="1" applyFill="1" applyBorder="1" applyAlignment="1" applyProtection="1">
      <alignment horizontal="right"/>
      <protection locked="0"/>
    </xf>
    <xf numFmtId="178" fontId="0" fillId="0" borderId="47" xfId="4" applyNumberFormat="1" applyFont="1" applyFill="1" applyBorder="1" applyProtection="1">
      <protection locked="0"/>
    </xf>
    <xf numFmtId="167" fontId="3" fillId="0" borderId="47" xfId="3" applyNumberFormat="1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3" fillId="0" borderId="49" xfId="0" applyFont="1" applyFill="1" applyBorder="1" applyAlignment="1" applyProtection="1">
      <alignment horizontal="right"/>
      <protection locked="0"/>
    </xf>
    <xf numFmtId="178" fontId="3" fillId="0" borderId="62" xfId="4" applyNumberFormat="1" applyFont="1" applyFill="1" applyBorder="1" applyProtection="1">
      <protection locked="0"/>
    </xf>
    <xf numFmtId="167" fontId="3" fillId="0" borderId="62" xfId="3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64" xfId="0" applyFont="1" applyFill="1" applyBorder="1" applyAlignment="1" applyProtection="1">
      <alignment horizontal="right"/>
      <protection locked="0"/>
    </xf>
    <xf numFmtId="0" fontId="8" fillId="0" borderId="65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8" fillId="0" borderId="12" xfId="0" applyFont="1" applyBorder="1" applyProtection="1"/>
    <xf numFmtId="0" fontId="8" fillId="0" borderId="14" xfId="0" applyFont="1" applyBorder="1" applyProtection="1"/>
    <xf numFmtId="0" fontId="8" fillId="0" borderId="16" xfId="0" applyFont="1" applyBorder="1" applyProtection="1"/>
    <xf numFmtId="0" fontId="10" fillId="5" borderId="11" xfId="0" applyFont="1" applyFill="1" applyBorder="1" applyProtection="1"/>
    <xf numFmtId="0" fontId="10" fillId="5" borderId="17" xfId="0" applyFont="1" applyFill="1" applyBorder="1" applyProtection="1"/>
    <xf numFmtId="0" fontId="16" fillId="0" borderId="12" xfId="0" applyFont="1" applyFill="1" applyBorder="1" applyAlignment="1" applyProtection="1">
      <alignment horizontal="right"/>
    </xf>
    <xf numFmtId="0" fontId="8" fillId="0" borderId="55" xfId="0" applyFont="1" applyFill="1" applyBorder="1" applyAlignment="1" applyProtection="1">
      <alignment horizontal="right"/>
    </xf>
    <xf numFmtId="0" fontId="0" fillId="0" borderId="16" xfId="0" applyBorder="1" applyProtection="1"/>
    <xf numFmtId="0" fontId="8" fillId="0" borderId="50" xfId="0" applyFont="1" applyFill="1" applyBorder="1" applyAlignment="1" applyProtection="1">
      <alignment horizontal="right"/>
    </xf>
    <xf numFmtId="0" fontId="3" fillId="0" borderId="0" xfId="0" applyFont="1" applyFill="1" applyBorder="1" applyProtection="1"/>
    <xf numFmtId="0" fontId="0" fillId="0" borderId="0" xfId="0" applyFill="1" applyBorder="1" applyProtection="1"/>
    <xf numFmtId="0" fontId="16" fillId="0" borderId="12" xfId="0" applyFont="1" applyFill="1" applyBorder="1" applyAlignment="1" applyProtection="1">
      <alignment horizontal="centerContinuous"/>
    </xf>
    <xf numFmtId="0" fontId="0" fillId="0" borderId="10" xfId="0" applyBorder="1" applyAlignment="1" applyProtection="1">
      <alignment horizontal="centerContinuous"/>
    </xf>
    <xf numFmtId="0" fontId="0" fillId="0" borderId="19" xfId="0" applyBorder="1" applyAlignment="1" applyProtection="1">
      <alignment horizontal="centerContinuous"/>
    </xf>
    <xf numFmtId="0" fontId="0" fillId="0" borderId="10" xfId="0" applyBorder="1" applyProtection="1"/>
    <xf numFmtId="0" fontId="16" fillId="0" borderId="157" xfId="0" applyFont="1" applyFill="1" applyBorder="1" applyAlignment="1" applyProtection="1">
      <alignment horizontal="centerContinuous"/>
    </xf>
    <xf numFmtId="0" fontId="0" fillId="0" borderId="13" xfId="0" applyBorder="1" applyAlignment="1" applyProtection="1">
      <alignment horizontal="centerContinuous"/>
    </xf>
    <xf numFmtId="0" fontId="8" fillId="0" borderId="158" xfId="0" applyFont="1" applyBorder="1" applyAlignment="1" applyProtection="1">
      <alignment horizontal="left" indent="5"/>
    </xf>
    <xf numFmtId="0" fontId="0" fillId="0" borderId="146" xfId="0" applyBorder="1" applyAlignment="1" applyProtection="1">
      <alignment horizontal="left"/>
    </xf>
    <xf numFmtId="0" fontId="0" fillId="0" borderId="0" xfId="0" applyBorder="1" applyProtection="1"/>
    <xf numFmtId="0" fontId="0" fillId="0" borderId="153" xfId="0" applyBorder="1" applyProtection="1"/>
    <xf numFmtId="0" fontId="0" fillId="0" borderId="15" xfId="0" applyBorder="1" applyProtection="1"/>
    <xf numFmtId="0" fontId="8" fillId="0" borderId="14" xfId="0" applyFont="1" applyBorder="1" applyAlignment="1" applyProtection="1">
      <alignment horizontal="left" indent="5"/>
    </xf>
    <xf numFmtId="0" fontId="0" fillId="0" borderId="0" xfId="0" applyBorder="1" applyAlignment="1" applyProtection="1">
      <alignment horizontal="left"/>
    </xf>
    <xf numFmtId="0" fontId="16" fillId="0" borderId="107" xfId="0" applyFont="1" applyFill="1" applyBorder="1" applyAlignment="1" applyProtection="1">
      <alignment horizontal="centerContinuous"/>
    </xf>
    <xf numFmtId="0" fontId="0" fillId="0" borderId="45" xfId="0" applyBorder="1" applyAlignment="1" applyProtection="1">
      <alignment horizontal="centerContinuous"/>
    </xf>
    <xf numFmtId="0" fontId="8" fillId="0" borderId="156" xfId="0" applyFont="1" applyFill="1" applyBorder="1" applyAlignment="1" applyProtection="1">
      <alignment horizontal="centerContinuous"/>
    </xf>
    <xf numFmtId="0" fontId="0" fillId="0" borderId="9" xfId="0" applyBorder="1" applyAlignment="1" applyProtection="1">
      <alignment horizontal="centerContinuous"/>
    </xf>
    <xf numFmtId="0" fontId="0" fillId="0" borderId="38" xfId="0" applyBorder="1" applyAlignment="1" applyProtection="1">
      <alignment horizontal="centerContinuous"/>
    </xf>
    <xf numFmtId="0" fontId="10" fillId="0" borderId="95" xfId="0" applyFont="1" applyFill="1" applyBorder="1" applyAlignment="1" applyProtection="1">
      <alignment horizontal="center"/>
    </xf>
    <xf numFmtId="0" fontId="10" fillId="0" borderId="37" xfId="0" applyFont="1" applyFill="1" applyBorder="1" applyAlignment="1" applyProtection="1">
      <alignment horizontal="centerContinuous"/>
    </xf>
    <xf numFmtId="0" fontId="10" fillId="0" borderId="56" xfId="0" applyFont="1" applyFill="1" applyBorder="1" applyAlignment="1" applyProtection="1">
      <alignment horizontal="center"/>
    </xf>
    <xf numFmtId="0" fontId="10" fillId="0" borderId="7" xfId="0" applyFont="1" applyFill="1" applyBorder="1" applyAlignment="1" applyProtection="1">
      <alignment horizontal="centerContinuous"/>
    </xf>
    <xf numFmtId="0" fontId="10" fillId="0" borderId="39" xfId="0" applyFont="1" applyFill="1" applyBorder="1" applyAlignment="1" applyProtection="1">
      <alignment horizontal="centerContinuous"/>
    </xf>
    <xf numFmtId="0" fontId="0" fillId="0" borderId="107" xfId="0" applyBorder="1" applyProtection="1"/>
    <xf numFmtId="0" fontId="10" fillId="0" borderId="98" xfId="0" applyFont="1" applyFill="1" applyBorder="1" applyAlignment="1" applyProtection="1">
      <alignment horizontal="centerContinuous"/>
    </xf>
    <xf numFmtId="0" fontId="8" fillId="0" borderId="159" xfId="0" applyFont="1" applyFill="1" applyBorder="1" applyProtection="1"/>
    <xf numFmtId="0" fontId="0" fillId="0" borderId="36" xfId="0" applyBorder="1" applyProtection="1"/>
    <xf numFmtId="0" fontId="0" fillId="0" borderId="37" xfId="0" applyBorder="1" applyProtection="1"/>
    <xf numFmtId="0" fontId="8" fillId="0" borderId="155" xfId="0" applyFont="1" applyFill="1" applyBorder="1" applyProtection="1"/>
    <xf numFmtId="0" fontId="8" fillId="0" borderId="1" xfId="0" applyFont="1" applyFill="1" applyBorder="1" applyAlignment="1" applyProtection="1">
      <alignment horizontal="left" indent="2"/>
    </xf>
    <xf numFmtId="10" fontId="10" fillId="0" borderId="98" xfId="4" applyNumberFormat="1" applyFont="1" applyFill="1" applyBorder="1" applyAlignment="1" applyProtection="1">
      <alignment horizontal="center"/>
    </xf>
    <xf numFmtId="0" fontId="8" fillId="0" borderId="160" xfId="0" applyFont="1" applyFill="1" applyBorder="1" applyProtection="1"/>
    <xf numFmtId="0" fontId="0" fillId="0" borderId="29" xfId="0" applyBorder="1" applyProtection="1"/>
    <xf numFmtId="0" fontId="0" fillId="0" borderId="42" xfId="0" applyBorder="1" applyProtection="1"/>
    <xf numFmtId="0" fontId="8" fillId="0" borderId="30" xfId="0" applyFont="1" applyFill="1" applyBorder="1" applyProtection="1"/>
    <xf numFmtId="0" fontId="8" fillId="0" borderId="6" xfId="0" applyFont="1" applyFill="1" applyBorder="1" applyAlignment="1" applyProtection="1">
      <alignment horizontal="left" indent="2"/>
    </xf>
    <xf numFmtId="10" fontId="10" fillId="0" borderId="31" xfId="4" applyNumberFormat="1" applyFont="1" applyFill="1" applyBorder="1" applyAlignment="1" applyProtection="1">
      <alignment horizontal="center"/>
    </xf>
    <xf numFmtId="0" fontId="8" fillId="0" borderId="107" xfId="0" applyFont="1" applyFill="1" applyBorder="1" applyAlignment="1" applyProtection="1">
      <alignment horizontal="left" indent="2"/>
    </xf>
    <xf numFmtId="0" fontId="10" fillId="0" borderId="156" xfId="0" applyFont="1" applyBorder="1" applyProtection="1"/>
    <xf numFmtId="10" fontId="8" fillId="0" borderId="6" xfId="4" applyNumberFormat="1" applyFont="1" applyFill="1" applyBorder="1" applyAlignment="1" applyProtection="1">
      <alignment horizontal="center"/>
    </xf>
    <xf numFmtId="10" fontId="8" fillId="0" borderId="31" xfId="4" applyNumberFormat="1" applyFont="1" applyFill="1" applyBorder="1" applyAlignment="1" applyProtection="1">
      <alignment horizontal="center"/>
    </xf>
    <xf numFmtId="0" fontId="10" fillId="0" borderId="16" xfId="0" applyFont="1" applyBorder="1" applyProtection="1"/>
    <xf numFmtId="0" fontId="8" fillId="0" borderId="24" xfId="0" applyFont="1" applyFill="1" applyBorder="1" applyAlignment="1" applyProtection="1">
      <alignment horizontal="left" indent="2"/>
    </xf>
    <xf numFmtId="0" fontId="8" fillId="0" borderId="24" xfId="0" applyFont="1" applyFill="1" applyBorder="1" applyAlignment="1" applyProtection="1">
      <alignment horizontal="center"/>
    </xf>
    <xf numFmtId="0" fontId="0" fillId="0" borderId="11" xfId="0" applyBorder="1" applyProtection="1"/>
    <xf numFmtId="0" fontId="0" fillId="0" borderId="95" xfId="0" applyBorder="1" applyProtection="1"/>
    <xf numFmtId="0" fontId="0" fillId="0" borderId="9" xfId="0" applyBorder="1" applyProtection="1"/>
    <xf numFmtId="0" fontId="0" fillId="0" borderId="38" xfId="0" applyBorder="1" applyProtection="1"/>
    <xf numFmtId="0" fontId="0" fillId="0" borderId="154" xfId="0" applyBorder="1" applyProtection="1"/>
    <xf numFmtId="0" fontId="0" fillId="0" borderId="14" xfId="0" applyBorder="1" applyProtection="1"/>
    <xf numFmtId="0" fontId="8" fillId="0" borderId="153" xfId="0" applyFont="1" applyFill="1" applyBorder="1" applyAlignment="1" applyProtection="1">
      <alignment horizontal="left"/>
    </xf>
    <xf numFmtId="0" fontId="16" fillId="0" borderId="61" xfId="0" applyFont="1" applyFill="1" applyBorder="1" applyAlignment="1" applyProtection="1">
      <alignment horizontal="centerContinuous"/>
    </xf>
    <xf numFmtId="0" fontId="8" fillId="0" borderId="156" xfId="0" applyFont="1" applyFill="1" applyBorder="1" applyAlignment="1" applyProtection="1">
      <alignment horizontal="center"/>
    </xf>
    <xf numFmtId="0" fontId="8" fillId="0" borderId="37" xfId="0" applyFont="1" applyFill="1" applyBorder="1" applyAlignment="1" applyProtection="1">
      <alignment horizontal="centerContinuous"/>
    </xf>
    <xf numFmtId="0" fontId="3" fillId="0" borderId="61" xfId="0" applyFont="1" applyBorder="1" applyProtection="1"/>
    <xf numFmtId="0" fontId="8" fillId="0" borderId="98" xfId="0" applyFont="1" applyFill="1" applyBorder="1" applyAlignment="1" applyProtection="1">
      <alignment horizontal="centerContinuous"/>
    </xf>
    <xf numFmtId="0" fontId="0" fillId="0" borderId="35" xfId="0" applyBorder="1" applyProtection="1"/>
    <xf numFmtId="0" fontId="8" fillId="0" borderId="161" xfId="0" applyFont="1" applyFill="1" applyBorder="1" applyAlignment="1" applyProtection="1">
      <alignment horizontal="left" indent="2"/>
    </xf>
    <xf numFmtId="167" fontId="8" fillId="0" borderId="98" xfId="4" applyNumberFormat="1" applyFont="1" applyFill="1" applyBorder="1" applyAlignment="1" applyProtection="1">
      <alignment horizontal="center"/>
    </xf>
    <xf numFmtId="0" fontId="0" fillId="0" borderId="32" xfId="0" applyBorder="1" applyProtection="1"/>
    <xf numFmtId="0" fontId="8" fillId="0" borderId="7" xfId="0" applyFont="1" applyFill="1" applyBorder="1" applyAlignment="1" applyProtection="1">
      <alignment horizontal="left"/>
    </xf>
    <xf numFmtId="0" fontId="0" fillId="0" borderId="39" xfId="0" applyBorder="1" applyProtection="1"/>
    <xf numFmtId="0" fontId="8" fillId="0" borderId="56" xfId="0" applyFont="1" applyFill="1" applyBorder="1" applyAlignment="1" applyProtection="1">
      <alignment horizontal="left" indent="2"/>
    </xf>
    <xf numFmtId="167" fontId="8" fillId="0" borderId="31" xfId="4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178" fontId="8" fillId="0" borderId="0" xfId="4" applyNumberFormat="1" applyFont="1" applyFill="1" applyBorder="1" applyAlignment="1" applyProtection="1">
      <alignment horizontal="center"/>
    </xf>
    <xf numFmtId="0" fontId="8" fillId="0" borderId="61" xfId="0" applyFont="1" applyFill="1" applyBorder="1" applyAlignment="1" applyProtection="1">
      <alignment horizontal="left" indent="2"/>
    </xf>
    <xf numFmtId="0" fontId="10" fillId="0" borderId="0" xfId="0" applyFont="1" applyFill="1" applyBorder="1" applyProtection="1"/>
    <xf numFmtId="0" fontId="8" fillId="0" borderId="30" xfId="0" applyFont="1" applyFill="1" applyBorder="1" applyAlignment="1" applyProtection="1">
      <alignment horizontal="left" indent="2"/>
    </xf>
    <xf numFmtId="0" fontId="8" fillId="0" borderId="25" xfId="0" applyFont="1" applyFill="1" applyBorder="1" applyAlignment="1" applyProtection="1">
      <alignment horizontal="left" indent="2"/>
    </xf>
    <xf numFmtId="0" fontId="8" fillId="0" borderId="67" xfId="0" applyFont="1" applyFill="1" applyBorder="1" applyAlignment="1" applyProtection="1">
      <alignment horizontal="center"/>
    </xf>
    <xf numFmtId="0" fontId="32" fillId="0" borderId="0" xfId="0" applyFont="1" applyProtection="1"/>
    <xf numFmtId="0" fontId="31" fillId="2" borderId="0" xfId="0" applyFont="1" applyFill="1" applyProtection="1"/>
    <xf numFmtId="0" fontId="0" fillId="2" borderId="0" xfId="0" applyFill="1" applyProtection="1"/>
    <xf numFmtId="0" fontId="10" fillId="7" borderId="0" xfId="0" applyFont="1" applyFill="1"/>
    <xf numFmtId="2" fontId="10" fillId="7" borderId="0" xfId="0" applyNumberFormat="1" applyFont="1" applyFill="1" applyAlignment="1">
      <alignment horizontal="center"/>
    </xf>
    <xf numFmtId="0" fontId="5" fillId="0" borderId="0" xfId="0" quotePrefix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49" fontId="14" fillId="0" borderId="3" xfId="0" applyNumberFormat="1" applyFont="1" applyFill="1" applyBorder="1" applyAlignment="1" applyProtection="1">
      <alignment horizontal="centerContinuous" vertical="center"/>
    </xf>
    <xf numFmtId="178" fontId="0" fillId="0" borderId="0" xfId="6" applyNumberFormat="1" applyFont="1" applyFill="1"/>
    <xf numFmtId="0" fontId="37" fillId="0" borderId="0" xfId="25"/>
    <xf numFmtId="0" fontId="5" fillId="0" borderId="0" xfId="0" applyFont="1" applyFill="1" applyAlignment="1"/>
    <xf numFmtId="164" fontId="0" fillId="0" borderId="0" xfId="3" applyFont="1"/>
    <xf numFmtId="164" fontId="0" fillId="0" borderId="7" xfId="3" applyFont="1" applyBorder="1"/>
    <xf numFmtId="164" fontId="0" fillId="0" borderId="39" xfId="3" applyFont="1" applyBorder="1"/>
    <xf numFmtId="164" fontId="0" fillId="0" borderId="29" xfId="3" applyFont="1" applyFill="1" applyBorder="1"/>
    <xf numFmtId="164" fontId="0" fillId="0" borderId="6" xfId="3" applyFont="1" applyFill="1" applyBorder="1"/>
    <xf numFmtId="164" fontId="35" fillId="14" borderId="6" xfId="3" applyFont="1" applyFill="1" applyBorder="1" applyAlignment="1">
      <alignment horizontal="center" vertical="center" shrinkToFit="1"/>
    </xf>
    <xf numFmtId="164" fontId="0" fillId="0" borderId="6" xfId="3" applyFont="1" applyBorder="1"/>
    <xf numFmtId="164" fontId="0" fillId="2" borderId="29" xfId="3" applyFont="1" applyFill="1" applyBorder="1"/>
    <xf numFmtId="0" fontId="27" fillId="0" borderId="99" xfId="14" applyFont="1" applyBorder="1" applyAlignment="1">
      <alignment horizontal="center"/>
    </xf>
    <xf numFmtId="1" fontId="27" fillId="0" borderId="163" xfId="14" applyNumberFormat="1" applyFont="1" applyBorder="1" applyAlignment="1">
      <alignment horizontal="center"/>
    </xf>
    <xf numFmtId="0" fontId="26" fillId="0" borderId="100" xfId="14" applyFont="1" applyBorder="1"/>
    <xf numFmtId="0" fontId="27" fillId="0" borderId="100" xfId="14" applyFont="1" applyBorder="1" applyAlignment="1">
      <alignment textRotation="180"/>
    </xf>
    <xf numFmtId="176" fontId="26" fillId="0" borderId="102" xfId="14" applyNumberFormat="1" applyFont="1" applyBorder="1" applyAlignment="1">
      <alignment horizontal="center"/>
    </xf>
    <xf numFmtId="1" fontId="28" fillId="0" borderId="106" xfId="14" applyNumberFormat="1" applyFont="1" applyBorder="1" applyAlignment="1">
      <alignment horizontal="center"/>
    </xf>
    <xf numFmtId="49" fontId="28" fillId="0" borderId="164" xfId="14" applyNumberFormat="1" applyFont="1" applyBorder="1" applyAlignment="1">
      <alignment horizontal="center"/>
    </xf>
    <xf numFmtId="49" fontId="28" fillId="0" borderId="41" xfId="14" applyNumberFormat="1" applyFont="1" applyBorder="1" applyAlignment="1">
      <alignment horizontal="left"/>
    </xf>
    <xf numFmtId="0" fontId="29" fillId="0" borderId="6" xfId="14" applyFont="1" applyBorder="1"/>
    <xf numFmtId="0" fontId="28" fillId="0" borderId="41" xfId="14" applyFont="1" applyBorder="1" applyAlignment="1">
      <alignment horizontal="center"/>
    </xf>
    <xf numFmtId="0" fontId="28" fillId="0" borderId="29" xfId="14" applyFont="1" applyBorder="1" applyAlignment="1">
      <alignment horizontal="center"/>
    </xf>
    <xf numFmtId="1" fontId="28" fillId="0" borderId="6" xfId="14" applyNumberFormat="1" applyFont="1" applyBorder="1" applyAlignment="1">
      <alignment horizontal="center"/>
    </xf>
    <xf numFmtId="49" fontId="28" fillId="0" borderId="41" xfId="14" applyNumberFormat="1" applyFont="1" applyBorder="1" applyAlignment="1">
      <alignment horizontal="center"/>
    </xf>
    <xf numFmtId="0" fontId="28" fillId="0" borderId="6" xfId="14" applyFont="1" applyBorder="1" applyAlignment="1">
      <alignment horizontal="center"/>
    </xf>
    <xf numFmtId="0" fontId="28" fillId="0" borderId="39" xfId="14" applyFont="1" applyBorder="1" applyAlignment="1">
      <alignment horizontal="center"/>
    </xf>
    <xf numFmtId="0" fontId="27" fillId="0" borderId="165" xfId="14" applyFont="1" applyBorder="1" applyAlignment="1">
      <alignment horizontal="center"/>
    </xf>
    <xf numFmtId="1" fontId="27" fillId="0" borderId="166" xfId="14" applyNumberFormat="1" applyFont="1" applyBorder="1" applyAlignment="1">
      <alignment horizontal="center"/>
    </xf>
    <xf numFmtId="0" fontId="26" fillId="0" borderId="167" xfId="14" applyFont="1" applyBorder="1"/>
    <xf numFmtId="0" fontId="27" fillId="0" borderId="167" xfId="14" applyFont="1" applyBorder="1" applyAlignment="1">
      <alignment textRotation="180"/>
    </xf>
    <xf numFmtId="1" fontId="28" fillId="0" borderId="133" xfId="14" applyNumberFormat="1" applyFont="1" applyBorder="1" applyAlignment="1">
      <alignment horizontal="center"/>
    </xf>
    <xf numFmtId="1" fontId="28" fillId="0" borderId="32" xfId="14" applyNumberFormat="1" applyFont="1" applyBorder="1" applyAlignment="1">
      <alignment horizontal="center"/>
    </xf>
    <xf numFmtId="0" fontId="16" fillId="3" borderId="21" xfId="14" applyFont="1" applyFill="1" applyBorder="1" applyAlignment="1">
      <alignment horizontal="center" wrapText="1"/>
    </xf>
    <xf numFmtId="0" fontId="5" fillId="3" borderId="20" xfId="14" quotePrefix="1" applyFill="1" applyBorder="1" applyAlignment="1">
      <alignment horizontal="left" vertical="center" indent="3"/>
    </xf>
    <xf numFmtId="0" fontId="16" fillId="3" borderId="20" xfId="14" applyFont="1" applyFill="1" applyBorder="1" applyAlignment="1">
      <alignment horizontal="centerContinuous"/>
    </xf>
    <xf numFmtId="0" fontId="5" fillId="3" borderId="20" xfId="14" quotePrefix="1" applyFill="1" applyBorder="1" applyAlignment="1">
      <alignment horizontal="left"/>
    </xf>
    <xf numFmtId="0" fontId="5" fillId="3" borderId="10" xfId="14" applyFill="1" applyBorder="1"/>
    <xf numFmtId="0" fontId="5" fillId="3" borderId="20" xfId="14" applyFill="1" applyBorder="1"/>
    <xf numFmtId="0" fontId="5" fillId="3" borderId="13" xfId="14" applyFill="1" applyBorder="1"/>
    <xf numFmtId="0" fontId="7" fillId="3" borderId="77" xfId="14" applyFont="1" applyFill="1" applyBorder="1" applyAlignment="1">
      <alignment horizontal="left"/>
    </xf>
    <xf numFmtId="0" fontId="7" fillId="0" borderId="79" xfId="14" applyFont="1" applyBorder="1" applyAlignment="1">
      <alignment horizontal="left"/>
    </xf>
    <xf numFmtId="0" fontId="3" fillId="0" borderId="79" xfId="14" applyFont="1" applyBorder="1" applyAlignment="1">
      <alignment horizontal="centerContinuous"/>
    </xf>
    <xf numFmtId="49" fontId="3" fillId="0" borderId="39" xfId="14" applyNumberFormat="1" applyFont="1" applyBorder="1" applyAlignment="1">
      <alignment horizontal="centerContinuous"/>
    </xf>
    <xf numFmtId="49" fontId="3" fillId="0" borderId="80" xfId="14" applyNumberFormat="1" applyFont="1" applyBorder="1" applyAlignment="1">
      <alignment horizontal="centerContinuous"/>
    </xf>
    <xf numFmtId="0" fontId="3" fillId="3" borderId="7" xfId="14" applyFont="1" applyFill="1" applyBorder="1" applyAlignment="1">
      <alignment horizontal="centerContinuous"/>
    </xf>
    <xf numFmtId="0" fontId="3" fillId="3" borderId="54" xfId="14" applyFont="1" applyFill="1" applyBorder="1" applyAlignment="1">
      <alignment horizontal="centerContinuous"/>
    </xf>
    <xf numFmtId="4" fontId="3" fillId="10" borderId="81" xfId="14" applyNumberFormat="1" applyFont="1" applyFill="1" applyBorder="1" applyAlignment="1" applyProtection="1">
      <alignment horizontal="center"/>
      <protection locked="0"/>
    </xf>
    <xf numFmtId="10" fontId="3" fillId="0" borderId="82" xfId="17" applyNumberFormat="1" applyFont="1" applyFill="1" applyBorder="1" applyAlignment="1" applyProtection="1">
      <alignment horizontal="center"/>
    </xf>
    <xf numFmtId="0" fontId="7" fillId="3" borderId="83" xfId="14" applyFont="1" applyFill="1" applyBorder="1" applyAlignment="1">
      <alignment horizontal="left"/>
    </xf>
    <xf numFmtId="0" fontId="7" fillId="0" borderId="85" xfId="14" applyFont="1" applyBorder="1" applyAlignment="1">
      <alignment horizontal="left"/>
    </xf>
    <xf numFmtId="0" fontId="3" fillId="0" borderId="85" xfId="14" applyFont="1" applyBorder="1" applyAlignment="1">
      <alignment horizontal="center"/>
    </xf>
    <xf numFmtId="14" fontId="3" fillId="0" borderId="69" xfId="14" applyNumberFormat="1" applyFont="1" applyBorder="1" applyAlignment="1" applyProtection="1">
      <alignment horizontal="center"/>
      <protection locked="0"/>
    </xf>
    <xf numFmtId="1" fontId="3" fillId="10" borderId="69" xfId="14" applyNumberFormat="1" applyFont="1" applyFill="1" applyBorder="1" applyAlignment="1" applyProtection="1">
      <alignment horizontal="center"/>
      <protection locked="0"/>
    </xf>
    <xf numFmtId="14" fontId="3" fillId="0" borderId="86" xfId="14" applyNumberFormat="1" applyFont="1" applyBorder="1" applyAlignment="1">
      <alignment horizontal="center"/>
    </xf>
    <xf numFmtId="0" fontId="3" fillId="3" borderId="87" xfId="14" applyFont="1" applyFill="1" applyBorder="1" applyAlignment="1">
      <alignment horizontal="centerContinuous"/>
    </xf>
    <xf numFmtId="0" fontId="3" fillId="3" borderId="58" xfId="14" applyFont="1" applyFill="1" applyBorder="1" applyAlignment="1">
      <alignment horizontal="centerContinuous"/>
    </xf>
    <xf numFmtId="0" fontId="3" fillId="3" borderId="11" xfId="14" applyFont="1" applyFill="1" applyBorder="1" applyAlignment="1">
      <alignment horizontal="centerContinuous"/>
    </xf>
    <xf numFmtId="4" fontId="3" fillId="10" borderId="88" xfId="14" applyNumberFormat="1" applyFont="1" applyFill="1" applyBorder="1" applyAlignment="1" applyProtection="1">
      <alignment horizontal="center"/>
      <protection locked="0"/>
    </xf>
    <xf numFmtId="10" fontId="3" fillId="0" borderId="89" xfId="17" applyNumberFormat="1" applyFont="1" applyFill="1" applyBorder="1" applyAlignment="1" applyProtection="1">
      <alignment horizontal="center"/>
    </xf>
    <xf numFmtId="0" fontId="7" fillId="3" borderId="90" xfId="14" applyFont="1" applyFill="1" applyBorder="1" applyAlignment="1">
      <alignment horizontal="left"/>
    </xf>
    <xf numFmtId="175" fontId="7" fillId="9" borderId="91" xfId="14" applyNumberFormat="1" applyFont="1" applyFill="1" applyBorder="1" applyAlignment="1">
      <alignment horizontal="left" indent="1"/>
    </xf>
    <xf numFmtId="0" fontId="19" fillId="3" borderId="92" xfId="14" applyFont="1" applyFill="1" applyBorder="1" applyAlignment="1">
      <alignment horizontal="center"/>
    </xf>
    <xf numFmtId="0" fontId="18" fillId="3" borderId="65" xfId="14" applyFont="1" applyFill="1" applyBorder="1" applyAlignment="1">
      <alignment horizontal="centerContinuous"/>
    </xf>
    <xf numFmtId="0" fontId="19" fillId="3" borderId="10" xfId="14" applyFont="1" applyFill="1" applyBorder="1" applyAlignment="1">
      <alignment horizontal="centerContinuous"/>
    </xf>
    <xf numFmtId="0" fontId="3" fillId="3" borderId="92" xfId="14" applyFont="1" applyFill="1" applyBorder="1" applyAlignment="1">
      <alignment horizontal="centerContinuous"/>
    </xf>
    <xf numFmtId="0" fontId="3" fillId="3" borderId="20" xfId="14" applyFont="1" applyFill="1" applyBorder="1" applyAlignment="1">
      <alignment horizontal="centerContinuous"/>
    </xf>
    <xf numFmtId="40" fontId="25" fillId="3" borderId="93" xfId="14" applyNumberFormat="1" applyFont="1" applyFill="1" applyBorder="1"/>
    <xf numFmtId="10" fontId="4" fillId="0" borderId="94" xfId="17" applyNumberFormat="1" applyFont="1" applyFill="1" applyBorder="1" applyProtection="1"/>
    <xf numFmtId="0" fontId="5" fillId="3" borderId="35" xfId="14" applyFill="1" applyBorder="1" applyAlignment="1">
      <alignment horizontal="center"/>
    </xf>
    <xf numFmtId="0" fontId="5" fillId="3" borderId="95" xfId="14" applyFill="1" applyBorder="1" applyAlignment="1">
      <alignment horizontal="left"/>
    </xf>
    <xf numFmtId="0" fontId="5" fillId="3" borderId="9" xfId="14" applyFill="1" applyBorder="1" applyAlignment="1">
      <alignment horizontal="centerContinuous"/>
    </xf>
    <xf numFmtId="0" fontId="7" fillId="3" borderId="6" xfId="14" applyFont="1" applyFill="1" applyBorder="1" applyAlignment="1">
      <alignment horizontal="center"/>
    </xf>
    <xf numFmtId="0" fontId="5" fillId="3" borderId="7" xfId="14" applyFill="1" applyBorder="1" applyAlignment="1">
      <alignment horizontal="centerContinuous"/>
    </xf>
    <xf numFmtId="0" fontId="5" fillId="3" borderId="54" xfId="14" applyFill="1" applyBorder="1" applyAlignment="1">
      <alignment horizontal="centerContinuous"/>
    </xf>
    <xf numFmtId="0" fontId="5" fillId="3" borderId="39" xfId="14" applyFill="1" applyBorder="1" applyAlignment="1">
      <alignment horizontal="centerContinuous"/>
    </xf>
    <xf numFmtId="0" fontId="5" fillId="3" borderId="41" xfId="14" applyFill="1" applyBorder="1" applyAlignment="1">
      <alignment horizontal="centerContinuous"/>
    </xf>
    <xf numFmtId="0" fontId="5" fillId="3" borderId="96" xfId="14" applyFill="1" applyBorder="1" applyAlignment="1">
      <alignment horizontal="centerContinuous"/>
    </xf>
    <xf numFmtId="0" fontId="5" fillId="3" borderId="9" xfId="14" applyFill="1" applyBorder="1" applyAlignment="1">
      <alignment horizontal="center"/>
    </xf>
    <xf numFmtId="0" fontId="5" fillId="3" borderId="97" xfId="14" applyFill="1" applyBorder="1" applyAlignment="1">
      <alignment horizontal="center"/>
    </xf>
    <xf numFmtId="0" fontId="5" fillId="3" borderId="98" xfId="14" applyFill="1" applyBorder="1" applyAlignment="1">
      <alignment horizontal="center"/>
    </xf>
    <xf numFmtId="0" fontId="7" fillId="2" borderId="27" xfId="14" applyFont="1" applyFill="1" applyBorder="1" applyAlignment="1" applyProtection="1">
      <alignment horizontal="center"/>
      <protection locked="0"/>
    </xf>
    <xf numFmtId="0" fontId="5" fillId="3" borderId="99" xfId="14" applyFill="1" applyBorder="1" applyAlignment="1">
      <alignment horizontal="center"/>
    </xf>
    <xf numFmtId="0" fontId="5" fillId="3" borderId="100" xfId="14" applyFill="1" applyBorder="1"/>
    <xf numFmtId="0" fontId="5" fillId="3" borderId="101" xfId="14" applyFill="1" applyBorder="1"/>
    <xf numFmtId="1" fontId="7" fillId="11" borderId="102" xfId="14" applyNumberFormat="1" applyFont="1" applyFill="1" applyBorder="1" applyAlignment="1" applyProtection="1">
      <alignment horizontal="center"/>
      <protection locked="0"/>
    </xf>
    <xf numFmtId="0" fontId="5" fillId="3" borderId="102" xfId="14" applyFill="1" applyBorder="1" applyAlignment="1">
      <alignment horizontal="center"/>
    </xf>
    <xf numFmtId="0" fontId="5" fillId="3" borderId="103" xfId="14" applyFill="1" applyBorder="1" applyAlignment="1">
      <alignment horizontal="center"/>
    </xf>
    <xf numFmtId="0" fontId="5" fillId="3" borderId="101" xfId="14" applyFill="1" applyBorder="1" applyAlignment="1">
      <alignment horizontal="center"/>
    </xf>
    <xf numFmtId="0" fontId="5" fillId="3" borderId="104" xfId="14" applyFill="1" applyBorder="1" applyAlignment="1">
      <alignment horizontal="center"/>
    </xf>
    <xf numFmtId="0" fontId="5" fillId="3" borderId="105" xfId="14" applyFill="1" applyBorder="1" applyAlignment="1">
      <alignment horizontal="center"/>
    </xf>
    <xf numFmtId="0" fontId="7" fillId="3" borderId="100" xfId="14" applyFont="1" applyFill="1" applyBorder="1" applyAlignment="1">
      <alignment textRotation="180"/>
    </xf>
    <xf numFmtId="176" fontId="5" fillId="3" borderId="102" xfId="14" applyNumberFormat="1" applyFill="1" applyBorder="1" applyAlignment="1">
      <alignment horizontal="center"/>
    </xf>
    <xf numFmtId="176" fontId="5" fillId="3" borderId="103" xfId="14" applyNumberFormat="1" applyFill="1" applyBorder="1" applyAlignment="1">
      <alignment horizontal="center"/>
    </xf>
    <xf numFmtId="176" fontId="5" fillId="3" borderId="101" xfId="14" applyNumberFormat="1" applyFill="1" applyBorder="1" applyAlignment="1">
      <alignment horizontal="center"/>
    </xf>
    <xf numFmtId="49" fontId="4" fillId="3" borderId="106" xfId="14" applyNumberFormat="1" applyFont="1" applyFill="1" applyBorder="1" applyAlignment="1">
      <alignment horizontal="center"/>
    </xf>
    <xf numFmtId="49" fontId="4" fillId="3" borderId="107" xfId="14" applyNumberFormat="1" applyFont="1" applyFill="1" applyBorder="1" applyAlignment="1">
      <alignment horizontal="left"/>
    </xf>
    <xf numFmtId="49" fontId="4" fillId="3" borderId="41" xfId="14" applyNumberFormat="1" applyFont="1" applyFill="1" applyBorder="1" applyAlignment="1">
      <alignment horizontal="left"/>
    </xf>
    <xf numFmtId="0" fontId="38" fillId="3" borderId="6" xfId="14" applyFont="1" applyFill="1" applyBorder="1"/>
    <xf numFmtId="0" fontId="4" fillId="3" borderId="41" xfId="14" applyFont="1" applyFill="1" applyBorder="1" applyAlignment="1">
      <alignment horizontal="center"/>
    </xf>
    <xf numFmtId="0" fontId="4" fillId="3" borderId="108" xfId="14" applyFont="1" applyFill="1" applyBorder="1" applyAlignment="1">
      <alignment horizontal="center"/>
    </xf>
    <xf numFmtId="0" fontId="4" fillId="3" borderId="57" xfId="14" applyFont="1" applyFill="1" applyBorder="1" applyAlignment="1">
      <alignment horizontal="center"/>
    </xf>
    <xf numFmtId="40" fontId="3" fillId="10" borderId="109" xfId="14" applyNumberFormat="1" applyFont="1" applyFill="1" applyBorder="1" applyAlignment="1">
      <alignment horizontal="right"/>
    </xf>
    <xf numFmtId="2" fontId="4" fillId="3" borderId="42" xfId="14" applyNumberFormat="1" applyFont="1" applyFill="1" applyBorder="1"/>
    <xf numFmtId="49" fontId="4" fillId="3" borderId="32" xfId="14" applyNumberFormat="1" applyFont="1" applyFill="1" applyBorder="1" applyAlignment="1">
      <alignment horizontal="center"/>
    </xf>
    <xf numFmtId="0" fontId="5" fillId="3" borderId="110" xfId="14" applyFill="1" applyBorder="1"/>
    <xf numFmtId="0" fontId="5" fillId="3" borderId="111" xfId="14" applyFill="1" applyBorder="1"/>
    <xf numFmtId="0" fontId="4" fillId="3" borderId="111" xfId="14" applyFont="1" applyFill="1" applyBorder="1"/>
    <xf numFmtId="40" fontId="4" fillId="3" borderId="111" xfId="14" applyNumberFormat="1" applyFont="1" applyFill="1" applyBorder="1"/>
    <xf numFmtId="0" fontId="4" fillId="3" borderId="112" xfId="14" applyFont="1" applyFill="1" applyBorder="1"/>
    <xf numFmtId="0" fontId="5" fillId="3" borderId="113" xfId="14" applyFill="1" applyBorder="1"/>
    <xf numFmtId="0" fontId="7" fillId="3" borderId="114" xfId="14" applyFont="1" applyFill="1" applyBorder="1" applyAlignment="1">
      <alignment horizontal="centerContinuous"/>
    </xf>
    <xf numFmtId="0" fontId="5" fillId="3" borderId="114" xfId="14" applyFill="1" applyBorder="1" applyAlignment="1">
      <alignment horizontal="centerContinuous"/>
    </xf>
    <xf numFmtId="0" fontId="4" fillId="3" borderId="114" xfId="14" applyFont="1" applyFill="1" applyBorder="1"/>
    <xf numFmtId="40" fontId="25" fillId="3" borderId="115" xfId="14" applyNumberFormat="1" applyFont="1" applyFill="1" applyBorder="1"/>
    <xf numFmtId="0" fontId="25" fillId="3" borderId="116" xfId="14" applyFont="1" applyFill="1" applyBorder="1"/>
    <xf numFmtId="0" fontId="18" fillId="3" borderId="61" xfId="14" applyFont="1" applyFill="1" applyBorder="1" applyAlignment="1">
      <alignment horizontal="centerContinuous"/>
    </xf>
    <xf numFmtId="0" fontId="19" fillId="3" borderId="57" xfId="14" applyFont="1" applyFill="1" applyBorder="1" applyAlignment="1">
      <alignment horizontal="centerContinuous"/>
    </xf>
    <xf numFmtId="0" fontId="4" fillId="3" borderId="57" xfId="14" applyFont="1" applyFill="1" applyBorder="1" applyAlignment="1">
      <alignment horizontal="centerContinuous"/>
    </xf>
    <xf numFmtId="0" fontId="4" fillId="3" borderId="45" xfId="14" applyFont="1" applyFill="1" applyBorder="1" applyAlignment="1">
      <alignment horizontal="centerContinuous"/>
    </xf>
    <xf numFmtId="0" fontId="4" fillId="3" borderId="101" xfId="14" applyFont="1" applyFill="1" applyBorder="1" applyAlignment="1">
      <alignment horizontal="centerContinuous"/>
    </xf>
    <xf numFmtId="0" fontId="4" fillId="3" borderId="117" xfId="14" applyFont="1" applyFill="1" applyBorder="1" applyAlignment="1">
      <alignment horizontal="centerContinuous"/>
    </xf>
    <xf numFmtId="0" fontId="4" fillId="3" borderId="97" xfId="14" applyFont="1" applyFill="1" applyBorder="1" applyAlignment="1">
      <alignment horizontal="center"/>
    </xf>
    <xf numFmtId="0" fontId="4" fillId="3" borderId="98" xfId="14" applyFont="1" applyFill="1" applyBorder="1" applyAlignment="1">
      <alignment horizontal="center"/>
    </xf>
    <xf numFmtId="0" fontId="5" fillId="3" borderId="106" xfId="14" applyFill="1" applyBorder="1" applyAlignment="1">
      <alignment horizontal="center"/>
    </xf>
    <xf numFmtId="0" fontId="5" fillId="3" borderId="118" xfId="14" applyFill="1" applyBorder="1" applyAlignment="1">
      <alignment horizontal="center"/>
    </xf>
    <xf numFmtId="0" fontId="5" fillId="3" borderId="119" xfId="14" applyFill="1" applyBorder="1" applyAlignment="1">
      <alignment horizontal="center"/>
    </xf>
    <xf numFmtId="0" fontId="4" fillId="3" borderId="119" xfId="14" applyFont="1" applyFill="1" applyBorder="1" applyAlignment="1">
      <alignment horizontal="center"/>
    </xf>
    <xf numFmtId="0" fontId="4" fillId="3" borderId="120" xfId="14" applyFont="1" applyFill="1" applyBorder="1" applyAlignment="1">
      <alignment horizontal="center"/>
    </xf>
    <xf numFmtId="0" fontId="5" fillId="3" borderId="57" xfId="14" applyFill="1" applyBorder="1" applyAlignment="1">
      <alignment horizontal="center"/>
    </xf>
    <xf numFmtId="0" fontId="4" fillId="3" borderId="109" xfId="14" applyFont="1" applyFill="1" applyBorder="1" applyAlignment="1">
      <alignment horizontal="center"/>
    </xf>
    <xf numFmtId="0" fontId="4" fillId="3" borderId="42" xfId="14" applyFont="1" applyFill="1" applyBorder="1" applyAlignment="1">
      <alignment horizontal="center"/>
    </xf>
    <xf numFmtId="0" fontId="4" fillId="3" borderId="30" xfId="14" applyFont="1" applyFill="1" applyBorder="1" applyAlignment="1">
      <alignment horizontal="center"/>
    </xf>
    <xf numFmtId="49" fontId="4" fillId="3" borderId="36" xfId="14" applyNumberFormat="1" applyFont="1" applyFill="1" applyBorder="1"/>
    <xf numFmtId="0" fontId="4" fillId="3" borderId="39" xfId="14" applyFont="1" applyFill="1" applyBorder="1"/>
    <xf numFmtId="0" fontId="4" fillId="3" borderId="6" xfId="14" applyFont="1" applyFill="1" applyBorder="1"/>
    <xf numFmtId="40" fontId="4" fillId="3" borderId="6" xfId="14" applyNumberFormat="1" applyFont="1" applyFill="1" applyBorder="1"/>
    <xf numFmtId="40" fontId="4" fillId="3" borderId="121" xfId="14" applyNumberFormat="1" applyFont="1" applyFill="1" applyBorder="1" applyProtection="1">
      <protection locked="0"/>
    </xf>
    <xf numFmtId="177" fontId="4" fillId="3" borderId="57" xfId="14" applyNumberFormat="1" applyFont="1" applyFill="1" applyBorder="1" applyAlignment="1">
      <alignment horizontal="center"/>
    </xf>
    <xf numFmtId="40" fontId="4" fillId="3" borderId="81" xfId="14" applyNumberFormat="1" applyFont="1" applyFill="1" applyBorder="1"/>
    <xf numFmtId="10" fontId="4" fillId="3" borderId="31" xfId="17" applyNumberFormat="1" applyFont="1" applyFill="1" applyBorder="1" applyProtection="1"/>
    <xf numFmtId="0" fontId="4" fillId="3" borderId="29" xfId="14" applyFont="1" applyFill="1" applyBorder="1"/>
    <xf numFmtId="177" fontId="4" fillId="3" borderId="54" xfId="14" applyNumberFormat="1" applyFont="1" applyFill="1" applyBorder="1" applyAlignment="1">
      <alignment horizontal="center"/>
    </xf>
    <xf numFmtId="40" fontId="5" fillId="0" borderId="0" xfId="14" applyNumberFormat="1" applyProtection="1">
      <protection locked="0"/>
    </xf>
    <xf numFmtId="1" fontId="4" fillId="3" borderId="36" xfId="14" applyNumberFormat="1" applyFont="1" applyFill="1" applyBorder="1"/>
    <xf numFmtId="1" fontId="4" fillId="3" borderId="29" xfId="14" applyNumberFormat="1" applyFont="1" applyFill="1" applyBorder="1"/>
    <xf numFmtId="0" fontId="4" fillId="3" borderId="56" xfId="14" applyFont="1" applyFill="1" applyBorder="1" applyAlignment="1">
      <alignment horizontal="center"/>
    </xf>
    <xf numFmtId="0" fontId="4" fillId="3" borderId="54" xfId="14" applyFont="1" applyFill="1" applyBorder="1"/>
    <xf numFmtId="40" fontId="4" fillId="3" borderId="54" xfId="14" applyNumberFormat="1" applyFont="1" applyFill="1" applyBorder="1"/>
    <xf numFmtId="40" fontId="4" fillId="3" borderId="54" xfId="14" applyNumberFormat="1" applyFont="1" applyFill="1" applyBorder="1" applyProtection="1">
      <protection locked="0"/>
    </xf>
    <xf numFmtId="9" fontId="4" fillId="3" borderId="47" xfId="17" applyFont="1" applyFill="1" applyBorder="1" applyProtection="1"/>
    <xf numFmtId="40" fontId="4" fillId="3" borderId="29" xfId="14" applyNumberFormat="1" applyFont="1" applyFill="1" applyBorder="1"/>
    <xf numFmtId="40" fontId="4" fillId="3" borderId="122" xfId="14" applyNumberFormat="1" applyFont="1" applyFill="1" applyBorder="1" applyProtection="1">
      <protection locked="0"/>
    </xf>
    <xf numFmtId="40" fontId="4" fillId="3" borderId="123" xfId="14" applyNumberFormat="1" applyFont="1" applyFill="1" applyBorder="1"/>
    <xf numFmtId="40" fontId="4" fillId="3" borderId="109" xfId="14" applyNumberFormat="1" applyFont="1" applyFill="1" applyBorder="1"/>
    <xf numFmtId="10" fontId="4" fillId="3" borderId="42" xfId="17" applyNumberFormat="1" applyFont="1" applyFill="1" applyBorder="1" applyProtection="1"/>
    <xf numFmtId="0" fontId="4" fillId="3" borderId="1" xfId="14" applyFont="1" applyFill="1" applyBorder="1"/>
    <xf numFmtId="40" fontId="4" fillId="3" borderId="57" xfId="14" applyNumberFormat="1" applyFont="1" applyFill="1" applyBorder="1"/>
    <xf numFmtId="0" fontId="4" fillId="3" borderId="56" xfId="14" applyFont="1" applyFill="1" applyBorder="1"/>
    <xf numFmtId="40" fontId="4" fillId="3" borderId="9" xfId="14" applyNumberFormat="1" applyFont="1" applyFill="1" applyBorder="1"/>
    <xf numFmtId="9" fontId="4" fillId="3" borderId="48" xfId="17" applyFont="1" applyFill="1" applyBorder="1" applyProtection="1"/>
    <xf numFmtId="0" fontId="7" fillId="3" borderId="99" xfId="14" applyFont="1" applyFill="1" applyBorder="1" applyAlignment="1">
      <alignment horizontal="centerContinuous"/>
    </xf>
    <xf numFmtId="0" fontId="5" fillId="3" borderId="124" xfId="14" applyFill="1" applyBorder="1" applyAlignment="1">
      <alignment horizontal="centerContinuous"/>
    </xf>
    <xf numFmtId="0" fontId="5" fillId="3" borderId="124" xfId="14" applyFill="1" applyBorder="1"/>
    <xf numFmtId="40" fontId="25" fillId="3" borderId="124" xfId="14" applyNumberFormat="1" applyFont="1" applyFill="1" applyBorder="1"/>
    <xf numFmtId="40" fontId="25" fillId="3" borderId="1" xfId="14" applyNumberFormat="1" applyFont="1" applyFill="1" applyBorder="1"/>
    <xf numFmtId="40" fontId="25" fillId="3" borderId="125" xfId="14" applyNumberFormat="1" applyFont="1" applyFill="1" applyBorder="1" applyProtection="1">
      <protection locked="0"/>
    </xf>
    <xf numFmtId="40" fontId="25" fillId="3" borderId="0" xfId="14" applyNumberFormat="1" applyFont="1" applyFill="1"/>
    <xf numFmtId="40" fontId="25" fillId="3" borderId="126" xfId="14" applyNumberFormat="1" applyFont="1" applyFill="1" applyBorder="1"/>
    <xf numFmtId="10" fontId="25" fillId="3" borderId="127" xfId="17" applyNumberFormat="1" applyFont="1" applyFill="1" applyBorder="1" applyProtection="1"/>
    <xf numFmtId="0" fontId="7" fillId="3" borderId="128" xfId="14" applyFont="1" applyFill="1" applyBorder="1" applyAlignment="1">
      <alignment horizontal="centerContinuous"/>
    </xf>
    <xf numFmtId="0" fontId="5" fillId="3" borderId="129" xfId="14" applyFill="1" applyBorder="1" applyAlignment="1">
      <alignment horizontal="centerContinuous"/>
    </xf>
    <xf numFmtId="0" fontId="5" fillId="3" borderId="129" xfId="14" applyFill="1" applyBorder="1"/>
    <xf numFmtId="10" fontId="25" fillId="3" borderId="129" xfId="17" applyNumberFormat="1" applyFont="1" applyFill="1" applyBorder="1" applyProtection="1"/>
    <xf numFmtId="10" fontId="25" fillId="3" borderId="130" xfId="17" applyNumberFormat="1" applyFont="1" applyFill="1" applyBorder="1" applyProtection="1">
      <protection locked="0"/>
    </xf>
    <xf numFmtId="10" fontId="25" fillId="3" borderId="131" xfId="17" applyNumberFormat="1" applyFont="1" applyFill="1" applyBorder="1" applyProtection="1"/>
    <xf numFmtId="10" fontId="25" fillId="3" borderId="132" xfId="17" applyNumberFormat="1" applyFont="1" applyFill="1" applyBorder="1" applyProtection="1"/>
    <xf numFmtId="0" fontId="7" fillId="3" borderId="133" xfId="14" applyFont="1" applyFill="1" applyBorder="1" applyAlignment="1">
      <alignment horizontal="centerContinuous"/>
    </xf>
    <xf numFmtId="0" fontId="5" fillId="3" borderId="118" xfId="14" applyFill="1" applyBorder="1" applyAlignment="1">
      <alignment horizontal="centerContinuous"/>
    </xf>
    <xf numFmtId="0" fontId="5" fillId="3" borderId="118" xfId="14" applyFill="1" applyBorder="1"/>
    <xf numFmtId="10" fontId="25" fillId="3" borderId="118" xfId="17" applyNumberFormat="1" applyFont="1" applyFill="1" applyBorder="1" applyProtection="1"/>
    <xf numFmtId="10" fontId="25" fillId="3" borderId="134" xfId="17" applyNumberFormat="1" applyFont="1" applyFill="1" applyBorder="1" applyProtection="1">
      <protection locked="0"/>
    </xf>
    <xf numFmtId="10" fontId="25" fillId="3" borderId="0" xfId="17" applyNumberFormat="1" applyFont="1" applyFill="1" applyBorder="1" applyProtection="1"/>
    <xf numFmtId="40" fontId="30" fillId="10" borderId="135" xfId="14" applyNumberFormat="1" applyFont="1" applyFill="1" applyBorder="1" applyAlignment="1">
      <alignment horizontal="center"/>
    </xf>
    <xf numFmtId="10" fontId="30" fillId="10" borderId="136" xfId="17" applyNumberFormat="1" applyFont="1" applyFill="1" applyBorder="1" applyAlignment="1" applyProtection="1">
      <alignment horizontal="center"/>
    </xf>
    <xf numFmtId="0" fontId="7" fillId="10" borderId="12" xfId="14" applyFont="1" applyFill="1" applyBorder="1" applyAlignment="1" applyProtection="1">
      <alignment horizontal="left" vertical="top"/>
      <protection locked="0"/>
    </xf>
    <xf numFmtId="0" fontId="7" fillId="10" borderId="10" xfId="14" applyFont="1" applyFill="1" applyBorder="1" applyProtection="1">
      <protection locked="0"/>
    </xf>
    <xf numFmtId="0" fontId="7" fillId="10" borderId="137" xfId="14" applyFont="1" applyFill="1" applyBorder="1" applyProtection="1">
      <protection locked="0"/>
    </xf>
    <xf numFmtId="0" fontId="7" fillId="10" borderId="10" xfId="14" applyFont="1" applyFill="1" applyBorder="1" applyAlignment="1" applyProtection="1">
      <alignment horizontal="left" vertical="top"/>
      <protection locked="0"/>
    </xf>
    <xf numFmtId="0" fontId="7" fillId="3" borderId="12" xfId="14" applyFont="1" applyFill="1" applyBorder="1" applyAlignment="1">
      <alignment horizontal="left" vertical="top"/>
    </xf>
    <xf numFmtId="0" fontId="7" fillId="3" borderId="10" xfId="14" applyFont="1" applyFill="1" applyBorder="1"/>
    <xf numFmtId="0" fontId="7" fillId="0" borderId="137" xfId="14" applyFont="1" applyBorder="1"/>
    <xf numFmtId="0" fontId="7" fillId="3" borderId="10" xfId="14" applyFont="1" applyFill="1" applyBorder="1" applyAlignment="1">
      <alignment horizontal="left"/>
    </xf>
    <xf numFmtId="0" fontId="7" fillId="3" borderId="13" xfId="14" applyFont="1" applyFill="1" applyBorder="1"/>
    <xf numFmtId="0" fontId="5" fillId="10" borderId="10" xfId="14" applyFill="1" applyBorder="1" applyProtection="1">
      <protection locked="0"/>
    </xf>
    <xf numFmtId="0" fontId="5" fillId="10" borderId="13" xfId="14" applyFill="1" applyBorder="1" applyProtection="1">
      <protection locked="0"/>
    </xf>
    <xf numFmtId="0" fontId="5" fillId="10" borderId="11" xfId="14" applyFill="1" applyBorder="1" applyProtection="1">
      <protection locked="0"/>
    </xf>
    <xf numFmtId="0" fontId="5" fillId="10" borderId="138" xfId="14" applyFill="1" applyBorder="1" applyProtection="1">
      <protection locked="0"/>
    </xf>
    <xf numFmtId="0" fontId="5" fillId="3" borderId="11" xfId="14" applyFill="1" applyBorder="1" applyAlignment="1">
      <alignment horizontal="centerContinuous"/>
    </xf>
    <xf numFmtId="0" fontId="5" fillId="0" borderId="138" xfId="14" applyBorder="1"/>
    <xf numFmtId="0" fontId="3" fillId="0" borderId="79" xfId="14" applyFont="1" applyBorder="1" applyAlignment="1">
      <alignment horizontal="left"/>
    </xf>
    <xf numFmtId="1" fontId="3" fillId="0" borderId="69" xfId="14" applyNumberFormat="1" applyFont="1" applyBorder="1" applyAlignment="1">
      <alignment horizontal="center"/>
    </xf>
    <xf numFmtId="10" fontId="0" fillId="0" borderId="0" xfId="6" applyNumberFormat="1" applyFont="1"/>
    <xf numFmtId="2" fontId="8" fillId="0" borderId="8" xfId="1" applyNumberFormat="1" applyFont="1" applyBorder="1" applyAlignment="1">
      <alignment horizontal="center"/>
    </xf>
    <xf numFmtId="0" fontId="4" fillId="0" borderId="0" xfId="5"/>
    <xf numFmtId="0" fontId="4" fillId="0" borderId="0" xfId="5" applyAlignment="1">
      <alignment horizontal="center"/>
    </xf>
    <xf numFmtId="0" fontId="33" fillId="0" borderId="0" xfId="5" applyFont="1"/>
    <xf numFmtId="0" fontId="3" fillId="2" borderId="0" xfId="5" applyFont="1" applyFill="1"/>
    <xf numFmtId="0" fontId="3" fillId="6" borderId="0" xfId="5" applyFont="1" applyFill="1"/>
    <xf numFmtId="180" fontId="3" fillId="6" borderId="0" xfId="5" applyNumberFormat="1" applyFont="1" applyFill="1"/>
    <xf numFmtId="0" fontId="3" fillId="12" borderId="0" xfId="5" applyFont="1" applyFill="1"/>
    <xf numFmtId="180" fontId="3" fillId="12" borderId="0" xfId="5" applyNumberFormat="1" applyFont="1" applyFill="1"/>
    <xf numFmtId="43" fontId="4" fillId="0" borderId="0" xfId="5" applyNumberFormat="1"/>
    <xf numFmtId="0" fontId="4" fillId="2" borderId="0" xfId="5" applyFill="1"/>
    <xf numFmtId="17" fontId="31" fillId="0" borderId="21" xfId="5" applyNumberFormat="1" applyFont="1" applyBorder="1"/>
    <xf numFmtId="0" fontId="4" fillId="0" borderId="20" xfId="5" applyBorder="1"/>
    <xf numFmtId="0" fontId="4" fillId="0" borderId="20" xfId="5" applyBorder="1" applyAlignment="1">
      <alignment horizontal="center"/>
    </xf>
    <xf numFmtId="0" fontId="4" fillId="0" borderId="65" xfId="5" applyBorder="1"/>
    <xf numFmtId="0" fontId="4" fillId="0" borderId="10" xfId="5" applyBorder="1"/>
    <xf numFmtId="0" fontId="3" fillId="0" borderId="92" xfId="5" applyFont="1" applyBorder="1" applyAlignment="1">
      <alignment horizontal="centerContinuous" wrapText="1"/>
    </xf>
    <xf numFmtId="0" fontId="4" fillId="0" borderId="65" xfId="5" applyBorder="1" applyAlignment="1">
      <alignment horizontal="centerContinuous"/>
    </xf>
    <xf numFmtId="0" fontId="3" fillId="2" borderId="92" xfId="5" applyFont="1" applyFill="1" applyBorder="1" applyAlignment="1">
      <alignment horizontal="centerContinuous" wrapText="1"/>
    </xf>
    <xf numFmtId="0" fontId="4" fillId="2" borderId="65" xfId="5" applyFill="1" applyBorder="1" applyAlignment="1">
      <alignment horizontal="centerContinuous"/>
    </xf>
    <xf numFmtId="0" fontId="3" fillId="2" borderId="66" xfId="5" applyFont="1" applyFill="1" applyBorder="1" applyAlignment="1">
      <alignment horizontal="center" vertical="center" wrapText="1"/>
    </xf>
    <xf numFmtId="1" fontId="36" fillId="0" borderId="30" xfId="5" applyNumberFormat="1" applyFont="1" applyBorder="1" applyAlignment="1">
      <alignment horizontal="left" vertical="top"/>
    </xf>
    <xf numFmtId="0" fontId="36" fillId="0" borderId="6" xfId="5" applyFont="1" applyBorder="1" applyAlignment="1">
      <alignment horizontal="left" vertical="top"/>
    </xf>
    <xf numFmtId="0" fontId="36" fillId="0" borderId="6" xfId="5" applyFont="1" applyBorder="1" applyAlignment="1">
      <alignment horizontal="center" vertical="top"/>
    </xf>
    <xf numFmtId="0" fontId="36" fillId="0" borderId="6" xfId="5" applyFont="1" applyBorder="1" applyAlignment="1">
      <alignment horizontal="center" vertical="top" wrapText="1"/>
    </xf>
    <xf numFmtId="0" fontId="36" fillId="2" borderId="31" xfId="5" applyFont="1" applyFill="1" applyBorder="1" applyAlignment="1">
      <alignment horizontal="center" vertical="top" wrapText="1"/>
    </xf>
    <xf numFmtId="0" fontId="36" fillId="0" borderId="7" xfId="5" applyFont="1" applyBorder="1" applyAlignment="1">
      <alignment horizontal="center" vertical="top" wrapText="1"/>
    </xf>
    <xf numFmtId="1" fontId="35" fillId="2" borderId="30" xfId="5" applyNumberFormat="1" applyFont="1" applyFill="1" applyBorder="1" applyAlignment="1">
      <alignment shrinkToFit="1"/>
    </xf>
    <xf numFmtId="0" fontId="5" fillId="0" borderId="6" xfId="5" applyFont="1" applyBorder="1" applyAlignment="1">
      <alignment wrapText="1"/>
    </xf>
    <xf numFmtId="0" fontId="5" fillId="0" borderId="6" xfId="5" applyFont="1" applyBorder="1" applyAlignment="1">
      <alignment horizontal="center" wrapText="1"/>
    </xf>
    <xf numFmtId="4" fontId="35" fillId="2" borderId="6" xfId="5" applyNumberFormat="1" applyFont="1" applyFill="1" applyBorder="1" applyAlignment="1">
      <alignment horizontal="right" vertical="top" shrinkToFit="1"/>
    </xf>
    <xf numFmtId="4" fontId="35" fillId="2" borderId="6" xfId="5" applyNumberFormat="1" applyFont="1" applyFill="1" applyBorder="1" applyAlignment="1">
      <alignment horizontal="center" vertical="center" shrinkToFit="1"/>
    </xf>
    <xf numFmtId="4" fontId="35" fillId="6" borderId="6" xfId="5" applyNumberFormat="1" applyFont="1" applyFill="1" applyBorder="1" applyAlignment="1">
      <alignment horizontal="center" vertical="center" shrinkToFit="1"/>
    </xf>
    <xf numFmtId="4" fontId="35" fillId="15" borderId="6" xfId="5" applyNumberFormat="1" applyFont="1" applyFill="1" applyBorder="1" applyAlignment="1">
      <alignment horizontal="center" vertical="center" shrinkToFit="1"/>
    </xf>
    <xf numFmtId="0" fontId="4" fillId="0" borderId="0" xfId="5" applyAlignment="1">
      <alignment horizontal="center" vertical="center"/>
    </xf>
    <xf numFmtId="4" fontId="39" fillId="15" borderId="31" xfId="5" applyNumberFormat="1" applyFont="1" applyFill="1" applyBorder="1" applyAlignment="1">
      <alignment horizontal="center" vertical="center" shrinkToFit="1"/>
    </xf>
    <xf numFmtId="4" fontId="35" fillId="0" borderId="6" xfId="5" applyNumberFormat="1" applyFont="1" applyBorder="1" applyAlignment="1">
      <alignment horizontal="center" vertical="center" shrinkToFit="1"/>
    </xf>
    <xf numFmtId="4" fontId="4" fillId="0" borderId="0" xfId="5" applyNumberFormat="1"/>
    <xf numFmtId="4" fontId="35" fillId="14" borderId="6" xfId="5" applyNumberFormat="1" applyFont="1" applyFill="1" applyBorder="1" applyAlignment="1">
      <alignment horizontal="center" vertical="center" shrinkToFit="1"/>
    </xf>
    <xf numFmtId="0" fontId="4" fillId="0" borderId="6" xfId="5" applyBorder="1" applyAlignment="1">
      <alignment horizontal="center"/>
    </xf>
    <xf numFmtId="0" fontId="4" fillId="0" borderId="6" xfId="5" applyBorder="1" applyAlignment="1">
      <alignment wrapText="1"/>
    </xf>
    <xf numFmtId="0" fontId="4" fillId="0" borderId="6" xfId="5" applyBorder="1"/>
    <xf numFmtId="0" fontId="4" fillId="0" borderId="0" xfId="5" applyAlignment="1">
      <alignment horizontal="center" vertical="center" wrapText="1"/>
    </xf>
    <xf numFmtId="4" fontId="39" fillId="0" borderId="31" xfId="5" applyNumberFormat="1" applyFont="1" applyBorder="1" applyAlignment="1">
      <alignment horizontal="center" vertical="center" shrinkToFit="1"/>
    </xf>
    <xf numFmtId="0" fontId="4" fillId="0" borderId="39" xfId="5" applyBorder="1" applyAlignment="1">
      <alignment wrapText="1"/>
    </xf>
    <xf numFmtId="4" fontId="35" fillId="13" borderId="6" xfId="5" applyNumberFormat="1" applyFont="1" applyFill="1" applyBorder="1" applyAlignment="1">
      <alignment horizontal="center" vertical="center" shrinkToFit="1"/>
    </xf>
    <xf numFmtId="1" fontId="35" fillId="2" borderId="25" xfId="5" applyNumberFormat="1" applyFont="1" applyFill="1" applyBorder="1" applyAlignment="1">
      <alignment shrinkToFit="1"/>
    </xf>
    <xf numFmtId="0" fontId="5" fillId="0" borderId="24" xfId="5" applyFont="1" applyBorder="1" applyAlignment="1">
      <alignment wrapText="1"/>
    </xf>
    <xf numFmtId="0" fontId="5" fillId="0" borderId="24" xfId="5" applyFont="1" applyBorder="1" applyAlignment="1">
      <alignment horizontal="center" wrapText="1"/>
    </xf>
    <xf numFmtId="4" fontId="35" fillId="2" borderId="24" xfId="5" applyNumberFormat="1" applyFont="1" applyFill="1" applyBorder="1" applyAlignment="1">
      <alignment horizontal="right" vertical="top" shrinkToFit="1"/>
    </xf>
    <xf numFmtId="0" fontId="4" fillId="0" borderId="11" xfId="5" applyBorder="1"/>
    <xf numFmtId="4" fontId="35" fillId="14" borderId="24" xfId="5" applyNumberFormat="1" applyFont="1" applyFill="1" applyBorder="1" applyAlignment="1">
      <alignment horizontal="center" vertical="center" shrinkToFit="1"/>
    </xf>
    <xf numFmtId="4" fontId="35" fillId="6" borderId="24" xfId="5" applyNumberFormat="1" applyFont="1" applyFill="1" applyBorder="1" applyAlignment="1">
      <alignment horizontal="center" vertical="center" shrinkToFit="1"/>
    </xf>
    <xf numFmtId="4" fontId="35" fillId="2" borderId="24" xfId="5" applyNumberFormat="1" applyFont="1" applyFill="1" applyBorder="1" applyAlignment="1">
      <alignment horizontal="center" vertical="center" shrinkToFit="1"/>
    </xf>
    <xf numFmtId="0" fontId="4" fillId="0" borderId="11" xfId="5" applyBorder="1" applyAlignment="1">
      <alignment horizontal="center" vertical="center"/>
    </xf>
    <xf numFmtId="0" fontId="7" fillId="10" borderId="78" xfId="14" applyNumberFormat="1" applyFont="1" applyFill="1" applyBorder="1" applyAlignment="1" applyProtection="1">
      <alignment horizontal="left"/>
      <protection locked="0"/>
    </xf>
    <xf numFmtId="0" fontId="7" fillId="10" borderId="54" xfId="14" applyNumberFormat="1" applyFont="1" applyFill="1" applyBorder="1" applyAlignment="1" applyProtection="1">
      <alignment horizontal="left"/>
      <protection locked="0"/>
    </xf>
    <xf numFmtId="0" fontId="7" fillId="10" borderId="84" xfId="14" applyNumberFormat="1" applyFont="1" applyFill="1" applyBorder="1" applyProtection="1">
      <protection locked="0"/>
    </xf>
    <xf numFmtId="0" fontId="7" fillId="10" borderId="11" xfId="14" applyNumberFormat="1" applyFont="1" applyFill="1" applyBorder="1" applyProtection="1">
      <protection locked="0"/>
    </xf>
    <xf numFmtId="0" fontId="7" fillId="10" borderId="11" xfId="14" applyNumberFormat="1" applyFont="1" applyFill="1" applyBorder="1" applyAlignment="1" applyProtection="1">
      <alignment horizontal="left"/>
      <protection locked="0"/>
    </xf>
    <xf numFmtId="0" fontId="7" fillId="10" borderId="39" xfId="14" applyNumberFormat="1" applyFont="1" applyFill="1" applyBorder="1" applyAlignment="1" applyProtection="1">
      <alignment horizontal="center"/>
      <protection locked="0"/>
    </xf>
    <xf numFmtId="0" fontId="7" fillId="10" borderId="69" xfId="14" applyNumberFormat="1" applyFont="1" applyFill="1" applyBorder="1" applyAlignment="1" applyProtection="1">
      <alignment horizontal="center"/>
      <protection locked="0"/>
    </xf>
    <xf numFmtId="0" fontId="7" fillId="0" borderId="162" xfId="5" applyFont="1" applyBorder="1" applyAlignment="1">
      <alignment horizontal="left" vertical="center" wrapText="1"/>
    </xf>
    <xf numFmtId="0" fontId="34" fillId="0" borderId="162" xfId="5" applyFont="1" applyBorder="1" applyAlignment="1">
      <alignment horizontal="left" vertical="center" wrapText="1"/>
    </xf>
    <xf numFmtId="0" fontId="18" fillId="0" borderId="10" xfId="14" applyFont="1" applyBorder="1" applyAlignment="1">
      <alignment vertical="center"/>
    </xf>
    <xf numFmtId="0" fontId="18" fillId="0" borderId="0" xfId="14" applyFont="1" applyAlignment="1">
      <alignment vertical="center"/>
    </xf>
    <xf numFmtId="0" fontId="18" fillId="0" borderId="11" xfId="14" applyFont="1" applyBorder="1" applyAlignment="1">
      <alignment vertical="center"/>
    </xf>
    <xf numFmtId="171" fontId="18" fillId="8" borderId="10" xfId="16" applyNumberFormat="1" applyFont="1" applyFill="1" applyBorder="1" applyAlignment="1" applyProtection="1">
      <alignment horizontal="center"/>
      <protection locked="0"/>
    </xf>
    <xf numFmtId="171" fontId="5" fillId="0" borderId="10" xfId="14" applyNumberFormat="1" applyBorder="1" applyAlignment="1" applyProtection="1">
      <alignment horizontal="center"/>
      <protection locked="0"/>
    </xf>
    <xf numFmtId="171" fontId="5" fillId="0" borderId="13" xfId="14" applyNumberFormat="1" applyBorder="1" applyAlignment="1" applyProtection="1">
      <alignment horizontal="center"/>
      <protection locked="0"/>
    </xf>
    <xf numFmtId="173" fontId="18" fillId="8" borderId="26" xfId="16" applyNumberFormat="1" applyFont="1" applyFill="1" applyBorder="1" applyAlignment="1" applyProtection="1">
      <alignment horizontal="center"/>
      <protection locked="0"/>
    </xf>
    <xf numFmtId="173" fontId="5" fillId="0" borderId="26" xfId="14" applyNumberFormat="1" applyBorder="1" applyAlignment="1" applyProtection="1">
      <alignment horizontal="center"/>
      <protection locked="0"/>
    </xf>
    <xf numFmtId="173" fontId="5" fillId="0" borderId="34" xfId="14" applyNumberFormat="1" applyBorder="1" applyAlignment="1" applyProtection="1">
      <alignment horizontal="center"/>
      <protection locked="0"/>
    </xf>
    <xf numFmtId="174" fontId="18" fillId="0" borderId="74" xfId="5" applyNumberFormat="1" applyFont="1" applyBorder="1" applyAlignment="1">
      <alignment horizontal="right" vertical="center"/>
    </xf>
    <xf numFmtId="174" fontId="19" fillId="0" borderId="75" xfId="5" applyNumberFormat="1" applyFont="1" applyBorder="1" applyAlignment="1">
      <alignment horizontal="right" vertical="center"/>
    </xf>
    <xf numFmtId="0" fontId="4" fillId="0" borderId="75" xfId="5" applyBorder="1" applyAlignment="1">
      <alignment vertical="center"/>
    </xf>
    <xf numFmtId="0" fontId="4" fillId="0" borderId="76" xfId="5" applyBorder="1" applyAlignment="1">
      <alignment vertical="center"/>
    </xf>
    <xf numFmtId="174" fontId="18" fillId="0" borderId="13" xfId="5" applyNumberFormat="1" applyFont="1" applyBorder="1" applyAlignment="1">
      <alignment horizontal="left" vertical="center"/>
    </xf>
    <xf numFmtId="174" fontId="19" fillId="0" borderId="15" xfId="5" applyNumberFormat="1" applyFont="1" applyBorder="1" applyAlignment="1">
      <alignment horizontal="left" vertical="center"/>
    </xf>
    <xf numFmtId="0" fontId="4" fillId="0" borderId="15" xfId="5" applyBorder="1" applyAlignment="1">
      <alignment horizontal="left" vertical="center"/>
    </xf>
    <xf numFmtId="0" fontId="4" fillId="0" borderId="17" xfId="5" applyBorder="1" applyAlignment="1">
      <alignment horizontal="left" vertical="center"/>
    </xf>
    <xf numFmtId="49" fontId="3" fillId="4" borderId="21" xfId="0" applyNumberFormat="1" applyFont="1" applyFill="1" applyBorder="1" applyAlignment="1" applyProtection="1">
      <alignment horizontal="left" vertical="center"/>
    </xf>
    <xf numFmtId="0" fontId="3" fillId="4" borderId="53" xfId="0" applyFont="1" applyFill="1" applyBorder="1" applyAlignment="1" applyProtection="1">
      <alignment horizontal="left" vertical="center"/>
      <protection locked="0"/>
    </xf>
    <xf numFmtId="49" fontId="3" fillId="4" borderId="51" xfId="0" applyNumberFormat="1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49" fontId="3" fillId="4" borderId="56" xfId="0" applyNumberFormat="1" applyFont="1" applyFill="1" applyBorder="1" applyAlignment="1" applyProtection="1">
      <alignment horizontal="left" vertical="center"/>
    </xf>
    <xf numFmtId="0" fontId="3" fillId="4" borderId="59" xfId="0" applyFont="1" applyFill="1" applyBorder="1" applyAlignment="1" applyProtection="1">
      <alignment horizontal="left" vertical="center"/>
      <protection locked="0"/>
    </xf>
    <xf numFmtId="49" fontId="3" fillId="4" borderId="60" xfId="0" applyNumberFormat="1" applyFont="1" applyFill="1" applyBorder="1" applyAlignment="1" applyProtection="1">
      <alignment horizontal="left" vertical="center"/>
      <protection locked="0"/>
    </xf>
    <xf numFmtId="0" fontId="3" fillId="4" borderId="54" xfId="0" applyFont="1" applyFill="1" applyBorder="1" applyAlignment="1" applyProtection="1">
      <alignment horizontal="left" vertical="center"/>
      <protection locked="0"/>
    </xf>
    <xf numFmtId="49" fontId="3" fillId="4" borderId="16" xfId="0" applyNumberFormat="1" applyFont="1" applyFill="1" applyBorder="1" applyAlignment="1" applyProtection="1">
      <alignment horizontal="left" vertical="center"/>
    </xf>
    <xf numFmtId="0" fontId="3" fillId="4" borderId="50" xfId="0" applyFont="1" applyFill="1" applyBorder="1" applyAlignment="1" applyProtection="1">
      <alignment horizontal="left" vertical="center"/>
      <protection locked="0"/>
    </xf>
    <xf numFmtId="49" fontId="3" fillId="4" borderId="52" xfId="0" applyNumberFormat="1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/>
    </xf>
    <xf numFmtId="49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Continuous" vertical="center" wrapText="1"/>
    </xf>
    <xf numFmtId="0" fontId="3" fillId="4" borderId="43" xfId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Continuous" vertical="center" wrapText="1"/>
    </xf>
    <xf numFmtId="0" fontId="4" fillId="4" borderId="16" xfId="0" quotePrefix="1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center"/>
    </xf>
    <xf numFmtId="0" fontId="4" fillId="4" borderId="17" xfId="1" applyFont="1" applyFill="1" applyBorder="1" applyAlignment="1">
      <alignment vertical="center"/>
    </xf>
    <xf numFmtId="2" fontId="4" fillId="4" borderId="44" xfId="1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49" fontId="3" fillId="4" borderId="16" xfId="0" applyNumberFormat="1" applyFont="1" applyFill="1" applyBorder="1" applyAlignment="1">
      <alignment horizontal="center"/>
    </xf>
    <xf numFmtId="49" fontId="3" fillId="4" borderId="5" xfId="0" applyNumberFormat="1" applyFont="1" applyFill="1" applyBorder="1" applyAlignment="1">
      <alignment horizontal="center" vertical="center"/>
    </xf>
    <xf numFmtId="0" fontId="40" fillId="4" borderId="17" xfId="0" applyFont="1" applyFill="1" applyBorder="1" applyAlignment="1" applyProtection="1">
      <alignment vertical="center" wrapText="1"/>
    </xf>
    <xf numFmtId="4" fontId="3" fillId="4" borderId="26" xfId="1" applyNumberFormat="1" applyFont="1" applyFill="1" applyBorder="1" applyAlignment="1" applyProtection="1">
      <alignment vertical="center"/>
    </xf>
    <xf numFmtId="4" fontId="3" fillId="4" borderId="3" xfId="1" applyNumberFormat="1" applyFont="1" applyFill="1" applyBorder="1" applyAlignment="1" applyProtection="1">
      <alignment vertical="center"/>
    </xf>
    <xf numFmtId="0" fontId="4" fillId="4" borderId="30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center" vertical="center"/>
    </xf>
    <xf numFmtId="0" fontId="4" fillId="4" borderId="47" xfId="1" applyFont="1" applyFill="1" applyBorder="1" applyAlignment="1">
      <alignment vertical="center" wrapText="1"/>
    </xf>
    <xf numFmtId="2" fontId="4" fillId="4" borderId="31" xfId="1" applyNumberFormat="1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 applyProtection="1">
      <alignment vertical="center"/>
      <protection locked="0"/>
    </xf>
    <xf numFmtId="4" fontId="4" fillId="4" borderId="30" xfId="0" applyNumberFormat="1" applyFont="1" applyFill="1" applyBorder="1" applyAlignment="1" applyProtection="1">
      <alignment vertical="center"/>
      <protection locked="0"/>
    </xf>
    <xf numFmtId="0" fontId="4" fillId="4" borderId="30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49" fontId="3" fillId="4" borderId="33" xfId="0" applyNumberFormat="1" applyFont="1" applyFill="1" applyBorder="1" applyAlignment="1">
      <alignment horizontal="center" vertical="center"/>
    </xf>
    <xf numFmtId="0" fontId="40" fillId="4" borderId="34" xfId="0" applyFont="1" applyFill="1" applyBorder="1" applyAlignment="1" applyProtection="1">
      <alignment vertical="center" wrapText="1"/>
    </xf>
    <xf numFmtId="0" fontId="4" fillId="4" borderId="30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center" vertical="center"/>
    </xf>
    <xf numFmtId="4" fontId="4" fillId="4" borderId="26" xfId="1" applyNumberFormat="1" applyFont="1" applyFill="1" applyBorder="1" applyAlignment="1" applyProtection="1">
      <alignment vertical="center"/>
    </xf>
    <xf numFmtId="0" fontId="4" fillId="4" borderId="63" xfId="2" applyFont="1" applyFill="1" applyBorder="1" applyAlignment="1">
      <alignment horizontal="left"/>
    </xf>
    <xf numFmtId="0" fontId="4" fillId="4" borderId="64" xfId="2" applyFont="1" applyFill="1" applyBorder="1" applyAlignment="1">
      <alignment horizontal="center" vertical="center"/>
    </xf>
    <xf numFmtId="0" fontId="4" fillId="4" borderId="22" xfId="1" applyFont="1" applyFill="1" applyBorder="1" applyAlignment="1">
      <alignment vertical="center" wrapText="1"/>
    </xf>
    <xf numFmtId="2" fontId="4" fillId="4" borderId="66" xfId="1" applyNumberFormat="1" applyFont="1" applyFill="1" applyBorder="1" applyAlignment="1">
      <alignment horizontal="center" vertical="center"/>
    </xf>
    <xf numFmtId="4" fontId="4" fillId="4" borderId="63" xfId="0" applyNumberFormat="1" applyFont="1" applyFill="1" applyBorder="1" applyProtection="1">
      <protection locked="0"/>
    </xf>
    <xf numFmtId="0" fontId="4" fillId="4" borderId="25" xfId="2" applyFont="1" applyFill="1" applyBorder="1" applyAlignment="1">
      <alignment horizontal="left"/>
    </xf>
    <xf numFmtId="0" fontId="4" fillId="4" borderId="24" xfId="0" applyFont="1" applyFill="1" applyBorder="1" applyAlignment="1">
      <alignment horizontal="center" vertical="center"/>
    </xf>
    <xf numFmtId="0" fontId="4" fillId="4" borderId="62" xfId="1" applyFont="1" applyFill="1" applyBorder="1" applyAlignment="1">
      <alignment vertical="center" wrapText="1"/>
    </xf>
    <xf numFmtId="2" fontId="4" fillId="4" borderId="67" xfId="1" applyNumberFormat="1" applyFont="1" applyFill="1" applyBorder="1" applyAlignment="1">
      <alignment horizontal="center" vertical="center"/>
    </xf>
    <xf numFmtId="4" fontId="4" fillId="4" borderId="68" xfId="0" applyNumberFormat="1" applyFont="1" applyFill="1" applyBorder="1" applyProtection="1">
      <protection locked="0"/>
    </xf>
    <xf numFmtId="0" fontId="4" fillId="4" borderId="63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4" borderId="47" xfId="1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center" vertical="center"/>
    </xf>
    <xf numFmtId="0" fontId="4" fillId="4" borderId="62" xfId="1" applyFont="1" applyFill="1" applyBorder="1" applyAlignment="1">
      <alignment horizontal="left" vertical="center" wrapText="1"/>
    </xf>
    <xf numFmtId="0" fontId="40" fillId="4" borderId="34" xfId="0" applyFont="1" applyFill="1" applyBorder="1" applyAlignment="1">
      <alignment vertical="center" wrapText="1"/>
    </xf>
    <xf numFmtId="0" fontId="4" fillId="4" borderId="30" xfId="0" quotePrefix="1" applyFont="1" applyFill="1" applyBorder="1" applyAlignment="1">
      <alignment horizontal="left" vertical="center"/>
    </xf>
    <xf numFmtId="49" fontId="13" fillId="0" borderId="26" xfId="0" applyNumberFormat="1" applyFont="1" applyFill="1" applyBorder="1" applyAlignment="1" applyProtection="1">
      <alignment horizontal="centerContinuous" vertical="center"/>
    </xf>
    <xf numFmtId="0" fontId="5" fillId="0" borderId="26" xfId="0" applyFont="1" applyFill="1" applyBorder="1" applyAlignment="1">
      <alignment horizontal="centerContinuous" vertical="center"/>
    </xf>
    <xf numFmtId="0" fontId="5" fillId="0" borderId="26" xfId="0" applyFont="1" applyFill="1" applyBorder="1" applyAlignment="1" applyProtection="1">
      <alignment horizontal="centerContinuous" vertical="center"/>
    </xf>
    <xf numFmtId="0" fontId="3" fillId="4" borderId="17" xfId="0" applyFont="1" applyFill="1" applyBorder="1" applyAlignment="1" applyProtection="1">
      <alignment horizontal="left" vertical="center"/>
      <protection locked="0"/>
    </xf>
    <xf numFmtId="4" fontId="3" fillId="4" borderId="27" xfId="1" applyNumberFormat="1" applyFont="1" applyFill="1" applyBorder="1" applyAlignment="1" applyProtection="1">
      <alignment vertical="center"/>
    </xf>
    <xf numFmtId="0" fontId="3" fillId="4" borderId="46" xfId="0" applyFont="1" applyFill="1" applyBorder="1" applyAlignment="1" applyProtection="1">
      <alignment horizontal="left" vertical="center"/>
    </xf>
    <xf numFmtId="49" fontId="3" fillId="4" borderId="46" xfId="0" applyNumberFormat="1" applyFont="1" applyFill="1" applyBorder="1" applyAlignment="1" applyProtection="1">
      <alignment horizontal="center" vertical="center"/>
      <protection locked="0"/>
    </xf>
    <xf numFmtId="0" fontId="3" fillId="4" borderId="40" xfId="0" applyFont="1" applyFill="1" applyBorder="1" applyAlignment="1" applyProtection="1">
      <alignment horizontal="left" vertical="center"/>
    </xf>
    <xf numFmtId="49" fontId="3" fillId="4" borderId="40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>
      <alignment horizontal="centerContinuous" vertical="center"/>
    </xf>
    <xf numFmtId="0" fontId="3" fillId="4" borderId="13" xfId="0" applyFont="1" applyFill="1" applyBorder="1" applyAlignment="1">
      <alignment horizontal="centerContinuous" vertical="center"/>
    </xf>
    <xf numFmtId="2" fontId="3" fillId="4" borderId="33" xfId="0" applyNumberFormat="1" applyFont="1" applyFill="1" applyBorder="1" applyAlignment="1">
      <alignment horizontal="center" vertical="center"/>
    </xf>
    <xf numFmtId="165" fontId="3" fillId="4" borderId="28" xfId="1" applyNumberFormat="1" applyFont="1" applyFill="1" applyBorder="1" applyAlignment="1">
      <alignment horizontal="center" vertical="center"/>
    </xf>
    <xf numFmtId="165" fontId="3" fillId="4" borderId="28" xfId="1" applyNumberFormat="1" applyFont="1" applyFill="1" applyBorder="1" applyAlignment="1">
      <alignment horizontal="center" vertical="center" wrapText="1"/>
    </xf>
    <xf numFmtId="4" fontId="3" fillId="4" borderId="34" xfId="1" applyNumberFormat="1" applyFont="1" applyFill="1" applyBorder="1" applyAlignment="1" applyProtection="1">
      <alignment vertical="center"/>
    </xf>
    <xf numFmtId="4" fontId="4" fillId="4" borderId="31" xfId="1" applyNumberFormat="1" applyFont="1" applyFill="1" applyBorder="1" applyAlignment="1">
      <alignment vertical="center"/>
    </xf>
    <xf numFmtId="4" fontId="4" fillId="4" borderId="4" xfId="1" applyNumberFormat="1" applyFont="1" applyFill="1" applyBorder="1" applyAlignment="1">
      <alignment vertical="center"/>
    </xf>
    <xf numFmtId="4" fontId="4" fillId="4" borderId="6" xfId="0" applyNumberFormat="1" applyFont="1" applyFill="1" applyBorder="1" applyAlignment="1" applyProtection="1">
      <alignment vertical="center"/>
      <protection locked="0"/>
    </xf>
    <xf numFmtId="4" fontId="4" fillId="4" borderId="29" xfId="0" applyNumberFormat="1" applyFont="1" applyFill="1" applyBorder="1" applyProtection="1">
      <protection locked="0"/>
    </xf>
    <xf numFmtId="4" fontId="4" fillId="4" borderId="66" xfId="1" applyNumberFormat="1" applyFont="1" applyFill="1" applyBorder="1" applyAlignment="1">
      <alignment vertical="center"/>
    </xf>
    <xf numFmtId="4" fontId="4" fillId="4" borderId="23" xfId="0" applyNumberFormat="1" applyFont="1" applyFill="1" applyBorder="1" applyProtection="1">
      <protection locked="0"/>
    </xf>
    <xf numFmtId="4" fontId="4" fillId="4" borderId="67" xfId="1" applyNumberFormat="1" applyFont="1" applyFill="1" applyBorder="1" applyAlignment="1">
      <alignment vertical="center"/>
    </xf>
    <xf numFmtId="0" fontId="41" fillId="4" borderId="3" xfId="0" applyFont="1" applyFill="1" applyBorder="1" applyAlignment="1"/>
    <xf numFmtId="0" fontId="4" fillId="4" borderId="26" xfId="0" applyFont="1" applyFill="1" applyBorder="1" applyAlignment="1">
      <alignment vertical="center"/>
    </xf>
    <xf numFmtId="0" fontId="3" fillId="4" borderId="34" xfId="1" applyFont="1" applyFill="1" applyBorder="1" applyAlignment="1">
      <alignment horizontal="left" vertical="center"/>
    </xf>
    <xf numFmtId="2" fontId="4" fillId="4" borderId="26" xfId="1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vertical="center"/>
    </xf>
    <xf numFmtId="4" fontId="3" fillId="4" borderId="34" xfId="0" applyNumberFormat="1" applyFont="1" applyFill="1" applyBorder="1" applyAlignment="1">
      <alignment vertical="center"/>
    </xf>
    <xf numFmtId="4" fontId="3" fillId="4" borderId="27" xfId="1" applyNumberFormat="1" applyFont="1" applyFill="1" applyBorder="1" applyAlignment="1">
      <alignment vertical="center"/>
    </xf>
    <xf numFmtId="0" fontId="5" fillId="0" borderId="34" xfId="0" applyFont="1" applyFill="1" applyBorder="1" applyAlignment="1">
      <alignment horizontal="centerContinuous" vertical="center"/>
    </xf>
  </cellXfs>
  <cellStyles count="26">
    <cellStyle name="Hiperlink" xfId="25" builtinId="8"/>
    <cellStyle name="Normal" xfId="0" builtinId="0"/>
    <cellStyle name="Normal 2" xfId="5" xr:uid="{00000000-0005-0000-0000-000001000000}"/>
    <cellStyle name="Normal 2 2" xfId="20" xr:uid="{ECB696E2-25FB-4473-B081-27B8161250D9}"/>
    <cellStyle name="Normal 3" xfId="8" xr:uid="{00000000-0005-0000-0000-000002000000}"/>
    <cellStyle name="Normal 3 2" xfId="7" xr:uid="{00000000-0005-0000-0000-000003000000}"/>
    <cellStyle name="Normal 3 3" xfId="14" xr:uid="{00000000-0005-0000-0000-000004000000}"/>
    <cellStyle name="Normal 3 4" xfId="11" xr:uid="{00000000-0005-0000-0000-000005000000}"/>
    <cellStyle name="Normal 4" xfId="18" xr:uid="{D97A6843-BF6A-4D2B-8C8E-A7F111332292}"/>
    <cellStyle name="Normal 4 2" xfId="22" xr:uid="{0BB73F46-5D29-4C87-B017-99224B7A7007}"/>
    <cellStyle name="Normal 4 3" xfId="21" xr:uid="{37EA7FB2-22DA-4804-AB56-3561157862FE}"/>
    <cellStyle name="Normal 5" xfId="23" xr:uid="{369AB456-C355-42EA-961F-E7CF5652E09B}"/>
    <cellStyle name="Normal 6" xfId="19" xr:uid="{B989E60C-3513-4223-9F34-0B60B8021A6F}"/>
    <cellStyle name="Normal_ORÇAMENTO" xfId="1" xr:uid="{00000000-0005-0000-0000-000006000000}"/>
    <cellStyle name="Normal_ORÇAMENTO ALTERNATIVA 1 DER Junho2001" xfId="2" xr:uid="{00000000-0005-0000-0000-000007000000}"/>
    <cellStyle name="Porcentagem" xfId="4" builtinId="5"/>
    <cellStyle name="Porcentagem 2" xfId="6" xr:uid="{00000000-0005-0000-0000-000009000000}"/>
    <cellStyle name="Porcentagem 2 2" xfId="24" xr:uid="{09E87D33-4D9F-4810-9825-20A327824090}"/>
    <cellStyle name="Porcentagem 3" xfId="17" xr:uid="{22B45934-657F-4C4D-826C-FAA67E1BFC93}"/>
    <cellStyle name="Vírgula" xfId="3" builtinId="3"/>
    <cellStyle name="Vírgula 2" xfId="9" xr:uid="{00000000-0005-0000-0000-00000B000000}"/>
    <cellStyle name="Vírgula 2 2" xfId="15" xr:uid="{00000000-0005-0000-0000-00000C000000}"/>
    <cellStyle name="Vírgula 2 3" xfId="12" xr:uid="{00000000-0005-0000-0000-00000D000000}"/>
    <cellStyle name="Vírgula 3" xfId="13" xr:uid="{00000000-0005-0000-0000-00000E000000}"/>
    <cellStyle name="Vírgula 4" xfId="10" xr:uid="{00000000-0005-0000-0000-00000F000000}"/>
    <cellStyle name="Vírgula 5" xfId="16" xr:uid="{413EA061-10DD-4953-B4D5-AF5325160E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y/_01%20Reequil&#237;brio%20-%20arquivos%20revisados/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UYJOSE\BACK_UP\viabilidade%20normal%202019\Reequilibrio%20base%20tabela%20jun%202018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P após 2015"/>
      <sheetName val="INCC"/>
      <sheetName val="IGP-DI"/>
      <sheetName val="PROPOSTA"/>
      <sheetName val="med_SEM REEQ"/>
      <sheetName val="med a"/>
      <sheetName val="med b"/>
      <sheetName val="med c"/>
      <sheetName val="med d"/>
      <sheetName val="med e"/>
      <sheetName val="med f"/>
      <sheetName val="med g"/>
      <sheetName val="med h"/>
      <sheetName val="med i"/>
      <sheetName val="med-soma"/>
      <sheetName val="saldo"/>
      <sheetName val="global"/>
      <sheetName val="Planilh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v.br/anp/pt-br/assuntos/precos-e-defesa-da-concorrencia/precos/precos-de-produtores-e-importadores-de-derivados-de-petroleo" TargetMode="External"/><Relationship Id="rId1" Type="http://schemas.openxmlformats.org/officeDocument/2006/relationships/hyperlink" Target="https://www.gov.br/anp/pt-br/assuntos/precos-e-defesa-da-concorrencia/precos/precos-de-distribuicao-de-produtos-asfaltico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C6F9B-594D-489C-B4A1-EC30F91A9D95}">
  <dimension ref="A1:AI65"/>
  <sheetViews>
    <sheetView workbookViewId="0">
      <selection activeCell="AY14" sqref="AY14"/>
    </sheetView>
  </sheetViews>
  <sheetFormatPr defaultColWidth="9.1640625" defaultRowHeight="11.25" x14ac:dyDescent="0.2"/>
  <cols>
    <col min="1" max="1" width="22" style="470" customWidth="1"/>
    <col min="2" max="2" width="49" style="470" bestFit="1" customWidth="1"/>
    <col min="3" max="3" width="9.5" style="471" customWidth="1"/>
    <col min="4" max="4" width="10.5" style="470" customWidth="1"/>
    <col min="5" max="5" width="3.83203125" style="470" customWidth="1"/>
    <col min="6" max="6" width="11.1640625" style="470" hidden="1" customWidth="1"/>
    <col min="7" max="7" width="14" style="470" hidden="1" customWidth="1"/>
    <col min="8" max="8" width="11.1640625" style="470" hidden="1" customWidth="1"/>
    <col min="9" max="9" width="14" style="470" hidden="1" customWidth="1"/>
    <col min="10" max="10" width="11.1640625" style="470" hidden="1" customWidth="1"/>
    <col min="11" max="11" width="14" style="470" hidden="1" customWidth="1"/>
    <col min="12" max="13" width="10.5" style="470" hidden="1" customWidth="1"/>
    <col min="14" max="14" width="2.1640625" style="470" customWidth="1"/>
    <col min="15" max="15" width="18.33203125" style="470" customWidth="1"/>
    <col min="16" max="16" width="14.5" style="470" hidden="1" customWidth="1"/>
    <col min="17" max="17" width="9.6640625" style="471" hidden="1" customWidth="1"/>
    <col min="18" max="19" width="18.33203125" style="470" hidden="1" customWidth="1"/>
    <col min="20" max="21" width="19.33203125" style="270" hidden="1" customWidth="1"/>
    <col min="22" max="23" width="9.1640625" style="270" hidden="1" customWidth="1"/>
    <col min="24" max="24" width="0" style="270" hidden="1" customWidth="1"/>
    <col min="25" max="26" width="0" style="470" hidden="1" customWidth="1"/>
    <col min="27" max="27" width="12.6640625" style="470" hidden="1" customWidth="1"/>
    <col min="28" max="28" width="0" style="471" hidden="1" customWidth="1"/>
    <col min="29" max="29" width="49.1640625" style="470" hidden="1" customWidth="1"/>
    <col min="30" max="30" width="0" style="471" hidden="1" customWidth="1"/>
    <col min="31" max="32" width="0" style="470" hidden="1" customWidth="1"/>
    <col min="33" max="33" width="9.1640625" style="470" hidden="1" customWidth="1"/>
    <col min="34" max="34" width="0" style="470" hidden="1" customWidth="1"/>
    <col min="35" max="35" width="18.33203125" style="470" hidden="1" customWidth="1"/>
    <col min="36" max="41" width="0" style="470" hidden="1" customWidth="1"/>
    <col min="42" max="16384" width="9.1640625" style="470"/>
  </cols>
  <sheetData>
    <row r="1" spans="1:35" x14ac:dyDescent="0.2">
      <c r="T1" s="470"/>
      <c r="U1" s="470"/>
      <c r="Y1" s="270"/>
    </row>
    <row r="2" spans="1:35" x14ac:dyDescent="0.2">
      <c r="T2" s="470"/>
      <c r="U2" s="470"/>
      <c r="Y2" s="270"/>
    </row>
    <row r="3" spans="1:35" ht="15" x14ac:dyDescent="0.2">
      <c r="A3" s="472" t="s">
        <v>362</v>
      </c>
      <c r="T3" s="470"/>
      <c r="U3" s="470"/>
      <c r="Y3" s="270"/>
    </row>
    <row r="4" spans="1:35" ht="15" x14ac:dyDescent="0.2">
      <c r="A4" s="472"/>
      <c r="T4" s="470"/>
      <c r="U4" s="470"/>
      <c r="Y4" s="270"/>
    </row>
    <row r="5" spans="1:35" x14ac:dyDescent="0.2">
      <c r="O5" s="267"/>
      <c r="T5" s="470"/>
      <c r="U5" s="470"/>
      <c r="Y5" s="270"/>
      <c r="AI5" s="267"/>
    </row>
    <row r="6" spans="1:35" ht="15" x14ac:dyDescent="0.2">
      <c r="A6" s="472"/>
      <c r="O6" s="473" t="s">
        <v>393</v>
      </c>
      <c r="P6" s="473" t="s">
        <v>397</v>
      </c>
      <c r="R6" s="268" t="s">
        <v>395</v>
      </c>
      <c r="T6" s="470"/>
      <c r="U6" s="470"/>
      <c r="Y6" s="270"/>
      <c r="AI6" s="473" t="s">
        <v>393</v>
      </c>
    </row>
    <row r="7" spans="1:35" x14ac:dyDescent="0.2">
      <c r="O7" s="474" t="s">
        <v>394</v>
      </c>
      <c r="P7" s="475" t="s">
        <v>398</v>
      </c>
      <c r="R7" s="268" t="s">
        <v>396</v>
      </c>
      <c r="T7" s="470"/>
      <c r="U7" s="470"/>
      <c r="Y7" s="270"/>
      <c r="AI7" s="474" t="s">
        <v>394</v>
      </c>
    </row>
    <row r="8" spans="1:35" ht="12.75" x14ac:dyDescent="0.2">
      <c r="A8" s="531" t="s">
        <v>363</v>
      </c>
      <c r="B8" s="532"/>
      <c r="O8" s="476" t="s">
        <v>399</v>
      </c>
      <c r="P8" s="477" t="s">
        <v>400</v>
      </c>
      <c r="T8" s="470"/>
      <c r="U8" s="470"/>
      <c r="Y8" s="270"/>
      <c r="AI8" s="476" t="s">
        <v>399</v>
      </c>
    </row>
    <row r="9" spans="1:35" ht="12" thickBot="1" x14ac:dyDescent="0.25">
      <c r="B9" s="478"/>
      <c r="H9" s="479"/>
      <c r="T9" s="470"/>
      <c r="U9" s="470"/>
      <c r="Y9" s="270"/>
    </row>
    <row r="10" spans="1:35" ht="33.75" x14ac:dyDescent="0.35">
      <c r="A10" s="480" t="s">
        <v>380</v>
      </c>
      <c r="B10" s="481"/>
      <c r="C10" s="482"/>
      <c r="D10" s="483"/>
      <c r="E10" s="484"/>
      <c r="F10" s="485" t="s">
        <v>431</v>
      </c>
      <c r="G10" s="486"/>
      <c r="H10" s="485" t="s">
        <v>434</v>
      </c>
      <c r="I10" s="486"/>
      <c r="J10" s="485" t="s">
        <v>435</v>
      </c>
      <c r="K10" s="486"/>
      <c r="L10" s="487" t="s">
        <v>432</v>
      </c>
      <c r="M10" s="488"/>
      <c r="N10" s="484"/>
      <c r="O10" s="489" t="s">
        <v>389</v>
      </c>
      <c r="T10" s="470"/>
      <c r="U10" s="470" t="s">
        <v>389</v>
      </c>
      <c r="Y10" s="270"/>
      <c r="AI10" s="489" t="s">
        <v>389</v>
      </c>
    </row>
    <row r="11" spans="1:35" ht="60" x14ac:dyDescent="0.2">
      <c r="A11" s="490" t="s">
        <v>377</v>
      </c>
      <c r="B11" s="491" t="s">
        <v>378</v>
      </c>
      <c r="C11" s="492" t="s">
        <v>379</v>
      </c>
      <c r="D11" s="493" t="s">
        <v>436</v>
      </c>
      <c r="F11" s="493" t="s">
        <v>390</v>
      </c>
      <c r="G11" s="493" t="s">
        <v>381</v>
      </c>
      <c r="H11" s="493" t="s">
        <v>390</v>
      </c>
      <c r="I11" s="493" t="s">
        <v>381</v>
      </c>
      <c r="J11" s="493" t="s">
        <v>390</v>
      </c>
      <c r="K11" s="493" t="s">
        <v>381</v>
      </c>
      <c r="L11" s="493" t="s">
        <v>419</v>
      </c>
      <c r="M11" s="493" t="s">
        <v>420</v>
      </c>
      <c r="O11" s="494" t="s">
        <v>437</v>
      </c>
      <c r="R11" s="493" t="s">
        <v>392</v>
      </c>
      <c r="S11" s="495" t="s">
        <v>391</v>
      </c>
      <c r="T11" s="495" t="s">
        <v>430</v>
      </c>
      <c r="U11" s="495" t="s">
        <v>433</v>
      </c>
      <c r="V11" s="271" t="s">
        <v>421</v>
      </c>
      <c r="W11" s="272"/>
      <c r="X11" s="271" t="s">
        <v>422</v>
      </c>
      <c r="Y11" s="272"/>
      <c r="AC11" s="470" t="s">
        <v>438</v>
      </c>
      <c r="AI11" s="494" t="s">
        <v>437</v>
      </c>
    </row>
    <row r="12" spans="1:35" ht="12.75" x14ac:dyDescent="0.2">
      <c r="A12" s="496">
        <v>589100</v>
      </c>
      <c r="B12" s="497" t="s">
        <v>364</v>
      </c>
      <c r="C12" s="498" t="s">
        <v>365</v>
      </c>
      <c r="D12" s="499">
        <v>7777.8</v>
      </c>
      <c r="F12" s="500">
        <v>5183.34</v>
      </c>
      <c r="G12" s="500">
        <f>ROUND(F12/(1-21.65%),2)</f>
        <v>6615.62</v>
      </c>
      <c r="H12" s="501">
        <f>5.80175094148753*1000</f>
        <v>5801.7509414875303</v>
      </c>
      <c r="I12" s="501">
        <f>ROUND(H12/(1-21.65%),2)</f>
        <v>7404.92</v>
      </c>
      <c r="J12" s="502">
        <v>5763.37</v>
      </c>
      <c r="K12" s="502">
        <f>ROUND(J12/(1-21.65%),2)</f>
        <v>7355.93</v>
      </c>
      <c r="L12" s="500">
        <f>ROUND(7525*1.0365,2)</f>
        <v>7799.66</v>
      </c>
      <c r="M12" s="500">
        <f>ROUND(6860*1.18,2)</f>
        <v>8094.8</v>
      </c>
      <c r="N12" s="503"/>
      <c r="O12" s="504">
        <v>7777.8</v>
      </c>
      <c r="P12" s="503">
        <f>IF(D12=0,"",O12/D12)</f>
        <v>1</v>
      </c>
      <c r="Q12" s="503" t="s">
        <v>394</v>
      </c>
      <c r="R12" s="505">
        <v>6100.3</v>
      </c>
      <c r="S12" s="505">
        <v>5774.08</v>
      </c>
      <c r="T12" s="505">
        <v>6024.25</v>
      </c>
      <c r="U12" s="500">
        <v>6642.53</v>
      </c>
      <c r="V12" s="273"/>
      <c r="W12" s="277"/>
      <c r="X12" s="274"/>
      <c r="Y12" s="274"/>
      <c r="Z12" s="506"/>
      <c r="AA12" s="468"/>
      <c r="AI12" s="504">
        <v>7404.92</v>
      </c>
    </row>
    <row r="13" spans="1:35" ht="25.5" x14ac:dyDescent="0.2">
      <c r="A13" s="496"/>
      <c r="B13" s="497" t="s">
        <v>416</v>
      </c>
      <c r="C13" s="498" t="s">
        <v>365</v>
      </c>
      <c r="D13" s="499"/>
      <c r="F13" s="507"/>
      <c r="G13" s="507"/>
      <c r="H13" s="507"/>
      <c r="I13" s="507"/>
      <c r="J13" s="502">
        <v>4328.24</v>
      </c>
      <c r="K13" s="502">
        <f>ROUND(J13/(1-21.65%),2)</f>
        <v>5524.24</v>
      </c>
      <c r="L13" s="505"/>
      <c r="M13" s="505"/>
      <c r="N13" s="503"/>
      <c r="O13" s="504">
        <f>K13</f>
        <v>5524.24</v>
      </c>
      <c r="P13" s="503" t="str">
        <f t="shared" ref="P13:P33" si="0">IF(D13=0,"",O13/D13)</f>
        <v/>
      </c>
      <c r="Q13" s="503" t="s">
        <v>399</v>
      </c>
      <c r="R13" s="505"/>
      <c r="S13" s="505"/>
      <c r="T13" s="505"/>
      <c r="U13" s="500">
        <v>4715.28</v>
      </c>
      <c r="V13" s="274"/>
      <c r="W13" s="275"/>
      <c r="X13" s="275"/>
      <c r="Y13" s="275"/>
      <c r="Z13" s="506"/>
      <c r="AA13" s="468"/>
      <c r="AB13" s="508">
        <v>517</v>
      </c>
      <c r="AC13" s="509" t="s">
        <v>439</v>
      </c>
      <c r="AD13" s="508" t="s">
        <v>440</v>
      </c>
      <c r="AE13" s="510" t="s">
        <v>441</v>
      </c>
      <c r="AF13" s="510" t="s">
        <v>442</v>
      </c>
      <c r="AI13" s="504">
        <v>5524.24</v>
      </c>
    </row>
    <row r="14" spans="1:35" ht="33.75" x14ac:dyDescent="0.2">
      <c r="A14" s="496">
        <v>589050</v>
      </c>
      <c r="B14" s="497" t="s">
        <v>401</v>
      </c>
      <c r="C14" s="498" t="s">
        <v>365</v>
      </c>
      <c r="D14" s="499">
        <v>6004</v>
      </c>
      <c r="F14" s="507"/>
      <c r="G14" s="507"/>
      <c r="H14" s="501">
        <f>4.91838*1000</f>
        <v>4918.38</v>
      </c>
      <c r="I14" s="501">
        <f>ROUND(H14/(1-21.65%),2)</f>
        <v>6277.45</v>
      </c>
      <c r="J14" s="502">
        <v>4923.8599999999997</v>
      </c>
      <c r="K14" s="502">
        <f>ROUND(J14/(1-21.65%),2)</f>
        <v>6284.44</v>
      </c>
      <c r="L14" s="500">
        <f>ROUND(5608*1.0365,2)</f>
        <v>5812.69</v>
      </c>
      <c r="M14" s="500">
        <f>ROUND(5020*1.18,2)</f>
        <v>5923.6</v>
      </c>
      <c r="N14" s="503"/>
      <c r="O14" s="504">
        <v>6004</v>
      </c>
      <c r="P14" s="503">
        <f t="shared" si="0"/>
        <v>1</v>
      </c>
      <c r="Q14" s="503" t="s">
        <v>394</v>
      </c>
      <c r="R14" s="505">
        <v>5316</v>
      </c>
      <c r="S14" s="505">
        <v>4986.3100000000004</v>
      </c>
      <c r="T14" s="505">
        <v>5367.12</v>
      </c>
      <c r="U14" s="500">
        <v>5880.51</v>
      </c>
      <c r="V14" s="274"/>
      <c r="W14" s="274"/>
      <c r="X14" s="276"/>
      <c r="Y14" s="277"/>
      <c r="Z14" s="506"/>
      <c r="AA14" s="468"/>
      <c r="AB14" s="508">
        <v>41904</v>
      </c>
      <c r="AC14" s="509" t="s">
        <v>443</v>
      </c>
      <c r="AD14" s="508" t="s">
        <v>444</v>
      </c>
      <c r="AE14" s="510" t="s">
        <v>445</v>
      </c>
      <c r="AF14" s="510" t="s">
        <v>446</v>
      </c>
      <c r="AI14" s="504">
        <v>6277.45</v>
      </c>
    </row>
    <row r="15" spans="1:35" ht="33.75" x14ac:dyDescent="0.2">
      <c r="A15" s="496">
        <v>589070</v>
      </c>
      <c r="B15" s="497" t="s">
        <v>366</v>
      </c>
      <c r="C15" s="498" t="s">
        <v>365</v>
      </c>
      <c r="D15" s="499">
        <v>6309</v>
      </c>
      <c r="F15" s="507"/>
      <c r="G15" s="507"/>
      <c r="H15" s="507"/>
      <c r="I15" s="507"/>
      <c r="J15" s="502">
        <f>1000*4.87955269198174</f>
        <v>4879.5526919817394</v>
      </c>
      <c r="K15" s="502">
        <f>ROUND(J15/(1-21.65%),2)</f>
        <v>6227.89</v>
      </c>
      <c r="L15" s="500">
        <f>ROUND(5829*1.0365,2)</f>
        <v>6041.76</v>
      </c>
      <c r="M15" s="500">
        <f>ROUND(5170*1.18,2)</f>
        <v>6100.6</v>
      </c>
      <c r="N15" s="503"/>
      <c r="O15" s="504">
        <v>6309</v>
      </c>
      <c r="P15" s="503">
        <f t="shared" si="0"/>
        <v>1</v>
      </c>
      <c r="Q15" s="503" t="s">
        <v>399</v>
      </c>
      <c r="R15" s="505"/>
      <c r="S15" s="505">
        <v>4453.4399999999996</v>
      </c>
      <c r="T15" s="505">
        <v>5106.25</v>
      </c>
      <c r="U15" s="500">
        <v>6043.93</v>
      </c>
      <c r="V15" s="274"/>
      <c r="W15" s="274"/>
      <c r="X15" s="276"/>
      <c r="Y15" s="277"/>
      <c r="Z15" s="506"/>
      <c r="AA15" s="468"/>
      <c r="AB15" s="508">
        <v>41903</v>
      </c>
      <c r="AC15" s="509" t="s">
        <v>447</v>
      </c>
      <c r="AD15" s="508" t="s">
        <v>448</v>
      </c>
      <c r="AE15" s="510" t="s">
        <v>445</v>
      </c>
      <c r="AF15" s="510" t="s">
        <v>449</v>
      </c>
      <c r="AI15" s="504">
        <v>6227.89</v>
      </c>
    </row>
    <row r="16" spans="1:35" ht="33.75" x14ac:dyDescent="0.2">
      <c r="A16" s="496">
        <v>589000</v>
      </c>
      <c r="B16" s="497" t="s">
        <v>367</v>
      </c>
      <c r="C16" s="498" t="s">
        <v>365</v>
      </c>
      <c r="D16" s="499">
        <v>6287.6</v>
      </c>
      <c r="F16" s="500">
        <v>4205.01</v>
      </c>
      <c r="G16" s="500">
        <f>ROUND(F16/(1-21.65%),2)</f>
        <v>5366.96</v>
      </c>
      <c r="H16" s="501">
        <f>4.29342594098549*1000</f>
        <v>4293.4259409854894</v>
      </c>
      <c r="I16" s="501">
        <f>ROUND(H16/(1-21.65%),2)</f>
        <v>5479.8</v>
      </c>
      <c r="J16" s="502">
        <v>4286.0600000000004</v>
      </c>
      <c r="K16" s="502">
        <f>ROUND(J16/(1-21.65%),2)</f>
        <v>5470.4</v>
      </c>
      <c r="L16" s="500">
        <f>ROUND(6026*1.0365,2)</f>
        <v>6245.95</v>
      </c>
      <c r="M16" s="500"/>
      <c r="N16" s="503"/>
      <c r="O16" s="504">
        <v>6287.6</v>
      </c>
      <c r="P16" s="503">
        <f t="shared" si="0"/>
        <v>1</v>
      </c>
      <c r="Q16" s="503" t="s">
        <v>394</v>
      </c>
      <c r="R16" s="505">
        <v>4708.6000000000004</v>
      </c>
      <c r="S16" s="505">
        <v>4434.49</v>
      </c>
      <c r="T16" s="505">
        <v>4718.0200000000004</v>
      </c>
      <c r="U16" s="500">
        <v>5118.8900000000003</v>
      </c>
      <c r="V16" s="274"/>
      <c r="W16" s="274"/>
      <c r="X16" s="276"/>
      <c r="Y16" s="277"/>
      <c r="Z16" s="506"/>
      <c r="AA16" s="468"/>
      <c r="AB16" s="508">
        <v>37534</v>
      </c>
      <c r="AC16" s="509" t="s">
        <v>450</v>
      </c>
      <c r="AD16" s="508" t="s">
        <v>448</v>
      </c>
      <c r="AE16" s="510" t="s">
        <v>451</v>
      </c>
      <c r="AF16" s="510" t="s">
        <v>452</v>
      </c>
      <c r="AI16" s="504">
        <v>5479.8</v>
      </c>
    </row>
    <row r="17" spans="1:35" ht="33.75" x14ac:dyDescent="0.2">
      <c r="A17" s="496">
        <v>589030</v>
      </c>
      <c r="B17" s="497" t="s">
        <v>423</v>
      </c>
      <c r="C17" s="498" t="s">
        <v>365</v>
      </c>
      <c r="D17" s="499">
        <v>7237.2</v>
      </c>
      <c r="F17" s="507"/>
      <c r="G17" s="507"/>
      <c r="H17" s="501">
        <f>4.23281210969297*1000</f>
        <v>4232.8121096929699</v>
      </c>
      <c r="I17" s="501">
        <f>ROUND(H17/(1-21.65%),2)</f>
        <v>5402.44</v>
      </c>
      <c r="J17" s="502">
        <v>4887.37</v>
      </c>
      <c r="K17" s="502">
        <f t="shared" ref="K17:K19" si="1">ROUND(J17/(1-21.65%),2)</f>
        <v>6237.87</v>
      </c>
      <c r="L17" s="500">
        <f>ROUND(7233*1.0365,2)</f>
        <v>7497</v>
      </c>
      <c r="M17" s="500">
        <f>ROUND(6320*1.18,2)</f>
        <v>7457.6</v>
      </c>
      <c r="N17" s="503"/>
      <c r="O17" s="504">
        <v>7237.2</v>
      </c>
      <c r="P17" s="503">
        <f t="shared" si="0"/>
        <v>1</v>
      </c>
      <c r="Q17" s="503" t="s">
        <v>399</v>
      </c>
      <c r="R17" s="505"/>
      <c r="S17" s="505">
        <v>3898.29</v>
      </c>
      <c r="T17" s="505">
        <v>5841.48</v>
      </c>
      <c r="U17" s="500">
        <v>6343.8</v>
      </c>
      <c r="V17" s="274"/>
      <c r="W17" s="274"/>
      <c r="X17" s="276"/>
      <c r="Y17" s="277"/>
      <c r="Z17" s="506"/>
      <c r="AA17" s="468"/>
      <c r="AB17" s="508">
        <v>37535</v>
      </c>
      <c r="AC17" s="509" t="s">
        <v>453</v>
      </c>
      <c r="AD17" s="508" t="s">
        <v>448</v>
      </c>
      <c r="AE17" s="510" t="s">
        <v>451</v>
      </c>
      <c r="AF17" s="510" t="s">
        <v>452</v>
      </c>
      <c r="AI17" s="504">
        <v>5402.44</v>
      </c>
    </row>
    <row r="18" spans="1:35" ht="33.75" x14ac:dyDescent="0.2">
      <c r="A18" s="496">
        <v>589040</v>
      </c>
      <c r="B18" s="497" t="s">
        <v>424</v>
      </c>
      <c r="C18" s="498" t="s">
        <v>365</v>
      </c>
      <c r="D18" s="499">
        <v>7408.8</v>
      </c>
      <c r="F18" s="507"/>
      <c r="G18" s="507"/>
      <c r="H18" s="501">
        <f>5.37718*1000</f>
        <v>5377.18</v>
      </c>
      <c r="I18" s="501">
        <f>ROUND(H18/(1-21.65%),2)</f>
        <v>6863.02</v>
      </c>
      <c r="J18" s="502">
        <v>5314.57</v>
      </c>
      <c r="K18" s="502">
        <f t="shared" si="1"/>
        <v>6783.11</v>
      </c>
      <c r="L18" s="500">
        <f>ROUND(7371*1.0365,2)</f>
        <v>7640.04</v>
      </c>
      <c r="M18" s="500">
        <f>ROUND(6598*1.18,2)</f>
        <v>7785.64</v>
      </c>
      <c r="N18" s="503"/>
      <c r="O18" s="504">
        <v>7408.8</v>
      </c>
      <c r="P18" s="503">
        <f t="shared" si="0"/>
        <v>1</v>
      </c>
      <c r="Q18" s="511" t="s">
        <v>394</v>
      </c>
      <c r="R18" s="505"/>
      <c r="S18" s="505">
        <v>5182.78</v>
      </c>
      <c r="T18" s="505">
        <v>5188.97</v>
      </c>
      <c r="U18" s="500">
        <v>6060.94</v>
      </c>
      <c r="V18" s="274"/>
      <c r="W18" s="274"/>
      <c r="X18" s="276"/>
      <c r="Y18" s="277"/>
      <c r="Z18" s="506"/>
      <c r="AA18" s="468"/>
      <c r="AB18" s="508">
        <v>37533</v>
      </c>
      <c r="AC18" s="509" t="s">
        <v>454</v>
      </c>
      <c r="AD18" s="508" t="s">
        <v>448</v>
      </c>
      <c r="AE18" s="510" t="s">
        <v>451</v>
      </c>
      <c r="AF18" s="510" t="s">
        <v>452</v>
      </c>
      <c r="AI18" s="504">
        <v>6863.02</v>
      </c>
    </row>
    <row r="19" spans="1:35" ht="33.75" x14ac:dyDescent="0.2">
      <c r="A19" s="496">
        <v>589060</v>
      </c>
      <c r="B19" s="497" t="s">
        <v>425</v>
      </c>
      <c r="C19" s="498" t="s">
        <v>365</v>
      </c>
      <c r="D19" s="499">
        <v>7549.6</v>
      </c>
      <c r="F19" s="507"/>
      <c r="G19" s="507"/>
      <c r="H19" s="507"/>
      <c r="I19" s="507"/>
      <c r="J19" s="502">
        <f>5.93087*1000</f>
        <v>5930.87</v>
      </c>
      <c r="K19" s="502">
        <f t="shared" si="1"/>
        <v>7569.71</v>
      </c>
      <c r="L19" s="500">
        <f>ROUND(7514*1.0365,2)</f>
        <v>7788.26</v>
      </c>
      <c r="M19" s="500">
        <f>ROUND(6860*1.18,2)</f>
        <v>8094.8</v>
      </c>
      <c r="N19" s="503"/>
      <c r="O19" s="504">
        <v>7549.6</v>
      </c>
      <c r="P19" s="503">
        <f t="shared" si="0"/>
        <v>1</v>
      </c>
      <c r="Q19" s="503" t="s">
        <v>399</v>
      </c>
      <c r="R19" s="505"/>
      <c r="S19" s="505">
        <v>4864.28</v>
      </c>
      <c r="T19" s="505">
        <v>5635.05</v>
      </c>
      <c r="U19" s="500">
        <v>6155.24</v>
      </c>
      <c r="V19" s="276"/>
      <c r="W19" s="277"/>
      <c r="X19" s="276"/>
      <c r="Y19" s="273"/>
      <c r="Z19" s="506"/>
      <c r="AA19" s="468"/>
      <c r="AB19" s="508">
        <v>37537</v>
      </c>
      <c r="AC19" s="509" t="s">
        <v>455</v>
      </c>
      <c r="AD19" s="508" t="s">
        <v>448</v>
      </c>
      <c r="AE19" s="510" t="s">
        <v>451</v>
      </c>
      <c r="AF19" s="510" t="s">
        <v>456</v>
      </c>
      <c r="AI19" s="504">
        <v>7569.71</v>
      </c>
    </row>
    <row r="20" spans="1:35" ht="33.75" x14ac:dyDescent="0.2">
      <c r="A20" s="507"/>
      <c r="B20" s="497" t="s">
        <v>426</v>
      </c>
      <c r="C20" s="498" t="s">
        <v>365</v>
      </c>
      <c r="D20" s="507"/>
      <c r="F20" s="507"/>
      <c r="G20" s="507"/>
      <c r="H20" s="507"/>
      <c r="I20" s="507"/>
      <c r="J20" s="507"/>
      <c r="K20" s="507"/>
      <c r="L20" s="507"/>
      <c r="M20" s="507"/>
      <c r="N20" s="503"/>
      <c r="O20" s="512"/>
      <c r="P20" s="503" t="str">
        <f t="shared" si="0"/>
        <v/>
      </c>
      <c r="Q20" s="511"/>
      <c r="R20" s="505"/>
      <c r="S20" s="505"/>
      <c r="T20" s="505"/>
      <c r="U20" s="500"/>
      <c r="V20" s="274"/>
      <c r="W20" s="275"/>
      <c r="X20" s="275"/>
      <c r="Y20" s="275"/>
      <c r="Z20" s="506"/>
      <c r="AA20" s="468"/>
      <c r="AB20" s="508">
        <v>37536</v>
      </c>
      <c r="AC20" s="509" t="s">
        <v>457</v>
      </c>
      <c r="AD20" s="508" t="s">
        <v>448</v>
      </c>
      <c r="AE20" s="510" t="s">
        <v>451</v>
      </c>
      <c r="AF20" s="510" t="s">
        <v>456</v>
      </c>
      <c r="AI20" s="512"/>
    </row>
    <row r="21" spans="1:35" ht="33.75" x14ac:dyDescent="0.2">
      <c r="A21" s="507"/>
      <c r="B21" s="497" t="s">
        <v>427</v>
      </c>
      <c r="C21" s="498" t="s">
        <v>365</v>
      </c>
      <c r="D21" s="507"/>
      <c r="F21" s="507"/>
      <c r="G21" s="507"/>
      <c r="H21" s="507"/>
      <c r="I21" s="507"/>
      <c r="J21" s="507"/>
      <c r="K21" s="507"/>
      <c r="L21" s="507"/>
      <c r="M21" s="507"/>
      <c r="N21" s="503"/>
      <c r="O21" s="512"/>
      <c r="P21" s="503" t="str">
        <f t="shared" si="0"/>
        <v/>
      </c>
      <c r="Q21" s="511"/>
      <c r="R21" s="505"/>
      <c r="S21" s="505"/>
      <c r="T21" s="505"/>
      <c r="U21" s="500"/>
      <c r="V21" s="274"/>
      <c r="W21" s="275"/>
      <c r="X21" s="275"/>
      <c r="Y21" s="275"/>
      <c r="Z21" s="506"/>
      <c r="AA21" s="468"/>
      <c r="AB21" s="508">
        <v>37532</v>
      </c>
      <c r="AC21" s="509" t="s">
        <v>458</v>
      </c>
      <c r="AD21" s="508" t="s">
        <v>448</v>
      </c>
      <c r="AE21" s="510" t="s">
        <v>451</v>
      </c>
      <c r="AF21" s="510" t="s">
        <v>456</v>
      </c>
      <c r="AI21" s="512"/>
    </row>
    <row r="22" spans="1:35" ht="33.75" x14ac:dyDescent="0.2">
      <c r="A22" s="507"/>
      <c r="B22" s="497" t="s">
        <v>428</v>
      </c>
      <c r="C22" s="498" t="s">
        <v>365</v>
      </c>
      <c r="D22" s="507"/>
      <c r="F22" s="507"/>
      <c r="G22" s="507"/>
      <c r="H22" s="507"/>
      <c r="I22" s="507"/>
      <c r="J22" s="507"/>
      <c r="K22" s="507"/>
      <c r="L22" s="507"/>
      <c r="M22" s="507"/>
      <c r="N22" s="503"/>
      <c r="O22" s="512"/>
      <c r="P22" s="503" t="str">
        <f t="shared" si="0"/>
        <v/>
      </c>
      <c r="Q22" s="511"/>
      <c r="R22" s="505"/>
      <c r="S22" s="505"/>
      <c r="T22" s="505"/>
      <c r="U22" s="500"/>
      <c r="V22" s="274"/>
      <c r="W22" s="275"/>
      <c r="X22" s="275"/>
      <c r="Y22" s="275"/>
      <c r="Z22" s="506"/>
      <c r="AA22" s="468"/>
      <c r="AB22" s="508">
        <v>510</v>
      </c>
      <c r="AC22" s="513" t="s">
        <v>459</v>
      </c>
      <c r="AD22" s="508" t="s">
        <v>448</v>
      </c>
      <c r="AE22" s="510" t="s">
        <v>441</v>
      </c>
      <c r="AF22" s="510" t="s">
        <v>460</v>
      </c>
      <c r="AI22" s="512"/>
    </row>
    <row r="23" spans="1:35" ht="33.75" x14ac:dyDescent="0.2">
      <c r="A23" s="496">
        <v>589189</v>
      </c>
      <c r="B23" s="497" t="s">
        <v>368</v>
      </c>
      <c r="C23" s="498" t="s">
        <v>365</v>
      </c>
      <c r="D23" s="499">
        <v>4612.63</v>
      </c>
      <c r="F23" s="507"/>
      <c r="G23" s="507"/>
      <c r="H23" s="501">
        <f>3.19514693704435*1000</f>
        <v>3195.1469370443501</v>
      </c>
      <c r="I23" s="501">
        <f>ROUND(H23/(1-21.65%),2)</f>
        <v>4078.04</v>
      </c>
      <c r="J23" s="502">
        <v>3285.89</v>
      </c>
      <c r="K23" s="502">
        <f t="shared" ref="K23:K25" si="2">ROUND(J23/(1-21.65%),2)</f>
        <v>4193.8599999999997</v>
      </c>
      <c r="L23" s="500">
        <f>ROUND(3618*1.0365,2)</f>
        <v>3750.06</v>
      </c>
      <c r="M23" s="500">
        <f>3920*1.18</f>
        <v>4625.5999999999995</v>
      </c>
      <c r="N23" s="503"/>
      <c r="O23" s="504">
        <v>4612.63</v>
      </c>
      <c r="P23" s="503">
        <f t="shared" si="0"/>
        <v>1</v>
      </c>
      <c r="Q23" s="503" t="s">
        <v>394</v>
      </c>
      <c r="R23" s="505">
        <v>3951.04</v>
      </c>
      <c r="S23" s="505">
        <v>3540.56</v>
      </c>
      <c r="T23" s="505">
        <v>3540.17</v>
      </c>
      <c r="U23" s="500">
        <v>3981.34</v>
      </c>
      <c r="V23" s="274"/>
      <c r="W23" s="274"/>
      <c r="X23" s="276"/>
      <c r="Y23" s="277"/>
      <c r="Z23" s="506"/>
      <c r="AA23" s="468"/>
      <c r="AB23" s="508">
        <v>516</v>
      </c>
      <c r="AC23" s="513" t="s">
        <v>461</v>
      </c>
      <c r="AD23" s="508" t="s">
        <v>448</v>
      </c>
      <c r="AE23" s="510" t="s">
        <v>441</v>
      </c>
      <c r="AF23" s="510" t="s">
        <v>462</v>
      </c>
      <c r="AI23" s="504">
        <v>4078.04</v>
      </c>
    </row>
    <row r="24" spans="1:35" ht="33.75" x14ac:dyDescent="0.2">
      <c r="A24" s="496">
        <v>589180</v>
      </c>
      <c r="B24" s="497" t="s">
        <v>369</v>
      </c>
      <c r="C24" s="498" t="s">
        <v>365</v>
      </c>
      <c r="D24" s="499">
        <v>5974.97</v>
      </c>
      <c r="F24" s="507"/>
      <c r="G24" s="507"/>
      <c r="H24" s="501">
        <f>3.76300876756141*1000</f>
        <v>3763.00876756141</v>
      </c>
      <c r="I24" s="501">
        <f>ROUND(H24/(1-21.65%),2)</f>
        <v>4802.82</v>
      </c>
      <c r="J24" s="502">
        <v>3799.2</v>
      </c>
      <c r="K24" s="502">
        <f t="shared" si="2"/>
        <v>4849.01</v>
      </c>
      <c r="L24" s="500">
        <f>ROUND(5145*1.0365,2)</f>
        <v>5332.79</v>
      </c>
      <c r="M24" s="500">
        <f>4165*1.18</f>
        <v>4914.7</v>
      </c>
      <c r="N24" s="503"/>
      <c r="O24" s="504">
        <v>5974.97</v>
      </c>
      <c r="P24" s="503">
        <f t="shared" si="0"/>
        <v>1</v>
      </c>
      <c r="Q24" s="503" t="s">
        <v>394</v>
      </c>
      <c r="R24" s="505">
        <v>4645.1899999999996</v>
      </c>
      <c r="S24" s="505">
        <v>4080.54</v>
      </c>
      <c r="T24" s="505">
        <v>3985.51</v>
      </c>
      <c r="U24" s="500">
        <v>4460.5</v>
      </c>
      <c r="V24" s="274"/>
      <c r="W24" s="274"/>
      <c r="X24" s="276"/>
      <c r="Y24" s="277"/>
      <c r="Z24" s="506"/>
      <c r="AA24" s="468"/>
      <c r="AB24" s="508">
        <v>509</v>
      </c>
      <c r="AC24" s="513" t="s">
        <v>463</v>
      </c>
      <c r="AD24" s="508" t="s">
        <v>448</v>
      </c>
      <c r="AE24" s="510" t="s">
        <v>441</v>
      </c>
      <c r="AF24" s="510" t="s">
        <v>464</v>
      </c>
      <c r="AI24" s="504">
        <v>4802.82</v>
      </c>
    </row>
    <row r="25" spans="1:35" ht="25.5" x14ac:dyDescent="0.2">
      <c r="A25" s="507"/>
      <c r="B25" s="497" t="s">
        <v>417</v>
      </c>
      <c r="C25" s="498" t="s">
        <v>365</v>
      </c>
      <c r="D25" s="507"/>
      <c r="F25" s="507"/>
      <c r="G25" s="507"/>
      <c r="H25" s="514"/>
      <c r="I25" s="514"/>
      <c r="J25" s="502">
        <v>4028.52</v>
      </c>
      <c r="K25" s="502">
        <f t="shared" si="2"/>
        <v>5141.7</v>
      </c>
      <c r="L25" s="507"/>
      <c r="M25" s="507"/>
      <c r="N25" s="503"/>
      <c r="O25" s="504">
        <f>K25</f>
        <v>5141.7</v>
      </c>
      <c r="P25" s="503" t="str">
        <f t="shared" si="0"/>
        <v/>
      </c>
      <c r="Q25" s="503"/>
      <c r="R25" s="505"/>
      <c r="S25" s="505"/>
      <c r="T25" s="505"/>
      <c r="U25" s="500"/>
      <c r="V25" s="274"/>
      <c r="W25" s="274"/>
      <c r="X25" s="276"/>
      <c r="Y25" s="276"/>
      <c r="Z25" s="506"/>
      <c r="AA25" s="468"/>
      <c r="AB25" s="508">
        <v>41899</v>
      </c>
      <c r="AC25" s="513" t="s">
        <v>465</v>
      </c>
      <c r="AD25" s="508" t="s">
        <v>444</v>
      </c>
      <c r="AE25" s="510" t="s">
        <v>445</v>
      </c>
      <c r="AF25" s="510" t="s">
        <v>466</v>
      </c>
      <c r="AI25" s="504">
        <v>5141.7</v>
      </c>
    </row>
    <row r="26" spans="1:35" ht="25.5" x14ac:dyDescent="0.2">
      <c r="A26" s="507"/>
      <c r="B26" s="497" t="s">
        <v>418</v>
      </c>
      <c r="C26" s="498" t="s">
        <v>365</v>
      </c>
      <c r="D26" s="507"/>
      <c r="F26" s="507"/>
      <c r="G26" s="507"/>
      <c r="H26" s="514"/>
      <c r="I26" s="514"/>
      <c r="J26" s="514"/>
      <c r="K26" s="514"/>
      <c r="L26" s="507"/>
      <c r="M26" s="507"/>
      <c r="N26" s="503"/>
      <c r="O26" s="512"/>
      <c r="P26" s="503" t="str">
        <f t="shared" si="0"/>
        <v/>
      </c>
      <c r="Q26" s="503"/>
      <c r="R26" s="505"/>
      <c r="S26" s="505"/>
      <c r="T26" s="505"/>
      <c r="U26" s="500"/>
      <c r="V26" s="274"/>
      <c r="W26" s="274"/>
      <c r="X26" s="276"/>
      <c r="Y26" s="276"/>
      <c r="Z26" s="506"/>
      <c r="AA26" s="468"/>
      <c r="AI26" s="512"/>
    </row>
    <row r="27" spans="1:35" ht="12.75" x14ac:dyDescent="0.2">
      <c r="A27" s="496">
        <v>589170</v>
      </c>
      <c r="B27" s="497" t="s">
        <v>370</v>
      </c>
      <c r="C27" s="498" t="s">
        <v>365</v>
      </c>
      <c r="D27" s="499">
        <v>4654.68</v>
      </c>
      <c r="F27" s="507"/>
      <c r="G27" s="507"/>
      <c r="H27" s="501">
        <f>2.70281574630044*1000</f>
        <v>2702.81574630044</v>
      </c>
      <c r="I27" s="501">
        <f t="shared" ref="I27:I33" si="3">ROUND(H27/(1-21.65%),2)</f>
        <v>3449.67</v>
      </c>
      <c r="J27" s="502">
        <v>2722.53</v>
      </c>
      <c r="K27" s="502">
        <f t="shared" ref="K27:K32" si="4">ROUND(J27/(1-21.65%),2)</f>
        <v>3474.83</v>
      </c>
      <c r="L27" s="500">
        <f>ROUND(4297*1.0365,2)</f>
        <v>4453.84</v>
      </c>
      <c r="M27" s="500">
        <f>3780*1.18</f>
        <v>4460.3999999999996</v>
      </c>
      <c r="N27" s="503"/>
      <c r="O27" s="504">
        <v>4654.68</v>
      </c>
      <c r="P27" s="503">
        <f t="shared" si="0"/>
        <v>1</v>
      </c>
      <c r="Q27" s="503" t="s">
        <v>394</v>
      </c>
      <c r="R27" s="505">
        <v>3748</v>
      </c>
      <c r="S27" s="505">
        <v>3857.97</v>
      </c>
      <c r="T27" s="505">
        <v>3335.32</v>
      </c>
      <c r="U27" s="500">
        <v>3428.76</v>
      </c>
      <c r="V27" s="274"/>
      <c r="W27" s="274"/>
      <c r="X27" s="276"/>
      <c r="Y27" s="277"/>
      <c r="Z27" s="506"/>
      <c r="AA27" s="468"/>
      <c r="AI27" s="504">
        <v>3449.67</v>
      </c>
    </row>
    <row r="28" spans="1:35" ht="12.75" x14ac:dyDescent="0.2">
      <c r="A28" s="496">
        <v>589220</v>
      </c>
      <c r="B28" s="497" t="s">
        <v>371</v>
      </c>
      <c r="C28" s="498" t="s">
        <v>365</v>
      </c>
      <c r="D28" s="499">
        <v>4717.33</v>
      </c>
      <c r="F28" s="507"/>
      <c r="G28" s="507"/>
      <c r="H28" s="501">
        <f>3.24109819186917*1000</f>
        <v>3241.09819186917</v>
      </c>
      <c r="I28" s="501">
        <f t="shared" si="3"/>
        <v>4136.6899999999996</v>
      </c>
      <c r="J28" s="502">
        <v>3267.62</v>
      </c>
      <c r="K28" s="502">
        <f t="shared" si="4"/>
        <v>4170.54</v>
      </c>
      <c r="L28" s="500">
        <f>ROUND(4609*1.0365,2)</f>
        <v>4777.2299999999996</v>
      </c>
      <c r="M28" s="500">
        <f>4005*1.18</f>
        <v>4725.8999999999996</v>
      </c>
      <c r="N28" s="503"/>
      <c r="O28" s="504">
        <v>4717.33</v>
      </c>
      <c r="P28" s="503">
        <f t="shared" si="0"/>
        <v>1</v>
      </c>
      <c r="Q28" s="503" t="s">
        <v>394</v>
      </c>
      <c r="R28" s="505">
        <v>4176.7299999999996</v>
      </c>
      <c r="S28" s="505">
        <v>3270.49</v>
      </c>
      <c r="T28" s="505">
        <v>3276.86</v>
      </c>
      <c r="U28" s="500">
        <v>3613.68</v>
      </c>
      <c r="V28" s="274"/>
      <c r="W28" s="274"/>
      <c r="X28" s="276"/>
      <c r="Y28" s="277"/>
      <c r="Z28" s="506"/>
      <c r="AA28" s="468"/>
      <c r="AI28" s="504">
        <v>4136.6899999999996</v>
      </c>
    </row>
    <row r="29" spans="1:35" ht="12.75" x14ac:dyDescent="0.2">
      <c r="A29" s="496">
        <v>589320</v>
      </c>
      <c r="B29" s="497" t="s">
        <v>372</v>
      </c>
      <c r="C29" s="498" t="s">
        <v>365</v>
      </c>
      <c r="D29" s="499">
        <v>5048.25</v>
      </c>
      <c r="F29" s="507"/>
      <c r="G29" s="507"/>
      <c r="H29" s="514">
        <v>3295.81</v>
      </c>
      <c r="I29" s="514">
        <f t="shared" si="3"/>
        <v>4206.5200000000004</v>
      </c>
      <c r="J29" s="502">
        <f>3.26774400057937*1000</f>
        <v>3267.7440005793696</v>
      </c>
      <c r="K29" s="502">
        <f t="shared" si="4"/>
        <v>4170.7</v>
      </c>
      <c r="L29" s="500">
        <f>ROUND(4908*1.0365,2)</f>
        <v>5087.1400000000003</v>
      </c>
      <c r="M29" s="500">
        <f>4240*1.18</f>
        <v>5003.2</v>
      </c>
      <c r="N29" s="503"/>
      <c r="O29" s="504">
        <v>5048.25</v>
      </c>
      <c r="P29" s="503">
        <f t="shared" si="0"/>
        <v>1</v>
      </c>
      <c r="Q29" s="503" t="s">
        <v>399</v>
      </c>
      <c r="R29" s="505">
        <v>3909.18</v>
      </c>
      <c r="S29" s="505">
        <v>3617.13</v>
      </c>
      <c r="T29" s="505">
        <v>3843.65</v>
      </c>
      <c r="U29" s="500">
        <v>4206.5200000000004</v>
      </c>
      <c r="V29" s="274"/>
      <c r="W29" s="274"/>
      <c r="X29" s="276"/>
      <c r="Y29" s="277"/>
      <c r="Z29" s="506"/>
      <c r="AA29" s="468"/>
      <c r="AI29" s="504">
        <v>4206.5200000000004</v>
      </c>
    </row>
    <row r="30" spans="1:35" ht="12.75" x14ac:dyDescent="0.2">
      <c r="A30" s="496">
        <v>589420</v>
      </c>
      <c r="B30" s="497" t="s">
        <v>373</v>
      </c>
      <c r="C30" s="498" t="s">
        <v>365</v>
      </c>
      <c r="D30" s="499">
        <v>4520.62</v>
      </c>
      <c r="F30" s="507"/>
      <c r="G30" s="507"/>
      <c r="H30" s="501">
        <f>2.98805073072355*1000</f>
        <v>2988.0507307235498</v>
      </c>
      <c r="I30" s="501">
        <f t="shared" si="3"/>
        <v>3813.72</v>
      </c>
      <c r="J30" s="502">
        <v>2993.31</v>
      </c>
      <c r="K30" s="502">
        <f t="shared" si="4"/>
        <v>3820.43</v>
      </c>
      <c r="L30" s="500">
        <f>ROUND(4102*1.0365,2)</f>
        <v>4251.72</v>
      </c>
      <c r="M30" s="500">
        <f>3580*1.18</f>
        <v>4224.3999999999996</v>
      </c>
      <c r="N30" s="503"/>
      <c r="O30" s="504">
        <v>4520.62</v>
      </c>
      <c r="P30" s="503">
        <f t="shared" si="0"/>
        <v>1</v>
      </c>
      <c r="Q30" s="503" t="s">
        <v>394</v>
      </c>
      <c r="R30" s="505">
        <v>3317.47</v>
      </c>
      <c r="S30" s="505">
        <v>2934.27</v>
      </c>
      <c r="T30" s="505">
        <v>3123.51</v>
      </c>
      <c r="U30" s="500">
        <v>3537.5</v>
      </c>
      <c r="V30" s="274"/>
      <c r="W30" s="274"/>
      <c r="X30" s="276"/>
      <c r="Y30" s="277"/>
      <c r="Z30" s="506"/>
      <c r="AA30" s="468"/>
      <c r="AI30" s="504">
        <v>3813.72</v>
      </c>
    </row>
    <row r="31" spans="1:35" ht="25.5" x14ac:dyDescent="0.2">
      <c r="A31" s="496">
        <v>589430</v>
      </c>
      <c r="B31" s="497" t="s">
        <v>374</v>
      </c>
      <c r="C31" s="498" t="s">
        <v>365</v>
      </c>
      <c r="D31" s="499">
        <v>5448.56</v>
      </c>
      <c r="F31" s="507"/>
      <c r="G31" s="507"/>
      <c r="H31" s="514"/>
      <c r="I31" s="514">
        <f t="shared" si="3"/>
        <v>0</v>
      </c>
      <c r="J31" s="502">
        <v>3947.48</v>
      </c>
      <c r="K31" s="502">
        <f t="shared" si="4"/>
        <v>5038.26</v>
      </c>
      <c r="L31" s="507"/>
      <c r="M31" s="507"/>
      <c r="N31" s="503"/>
      <c r="O31" s="504">
        <v>5448.56</v>
      </c>
      <c r="P31" s="503">
        <f t="shared" si="0"/>
        <v>1</v>
      </c>
      <c r="Q31" s="511" t="s">
        <v>399</v>
      </c>
      <c r="R31" s="505"/>
      <c r="S31" s="505">
        <v>3861.52</v>
      </c>
      <c r="T31" s="505">
        <v>4147.8599999999997</v>
      </c>
      <c r="U31" s="500">
        <v>4747.67</v>
      </c>
      <c r="V31" s="274"/>
      <c r="W31" s="274"/>
      <c r="X31" s="276"/>
      <c r="Y31" s="277"/>
      <c r="Z31" s="506"/>
      <c r="AA31" s="468"/>
      <c r="AI31" s="504">
        <v>5038.26</v>
      </c>
    </row>
    <row r="32" spans="1:35" ht="12.75" x14ac:dyDescent="0.2">
      <c r="A32" s="496">
        <v>589520</v>
      </c>
      <c r="B32" s="497" t="s">
        <v>375</v>
      </c>
      <c r="C32" s="498" t="s">
        <v>365</v>
      </c>
      <c r="D32" s="499">
        <v>4925.2</v>
      </c>
      <c r="F32" s="507"/>
      <c r="G32" s="507"/>
      <c r="H32" s="501">
        <f>3.18333545745822*1000</f>
        <v>3183.3354574582204</v>
      </c>
      <c r="I32" s="501">
        <f t="shared" si="3"/>
        <v>4062.97</v>
      </c>
      <c r="J32" s="502">
        <v>3209.9</v>
      </c>
      <c r="K32" s="502">
        <f t="shared" si="4"/>
        <v>4096.87</v>
      </c>
      <c r="L32" s="500">
        <f>ROUND(4440*1.0365,2)</f>
        <v>4602.0600000000004</v>
      </c>
      <c r="M32" s="500">
        <f>3900*1.18</f>
        <v>4602</v>
      </c>
      <c r="N32" s="503"/>
      <c r="O32" s="504">
        <v>4925.2</v>
      </c>
      <c r="P32" s="503">
        <f t="shared" si="0"/>
        <v>1</v>
      </c>
      <c r="Q32" s="503" t="s">
        <v>394</v>
      </c>
      <c r="R32" s="505">
        <v>3756.64</v>
      </c>
      <c r="S32" s="505">
        <v>3314.7</v>
      </c>
      <c r="T32" s="505">
        <v>3487.86</v>
      </c>
      <c r="U32" s="500">
        <v>3897.06</v>
      </c>
      <c r="V32" s="274"/>
      <c r="W32" s="274"/>
      <c r="X32" s="276"/>
      <c r="Y32" s="277"/>
      <c r="Z32" s="506"/>
      <c r="AA32" s="468"/>
      <c r="AI32" s="504">
        <v>4062.97</v>
      </c>
    </row>
    <row r="33" spans="1:35" ht="26.25" thickBot="1" x14ac:dyDescent="0.25">
      <c r="A33" s="515">
        <v>589530</v>
      </c>
      <c r="B33" s="516" t="s">
        <v>376</v>
      </c>
      <c r="C33" s="517" t="s">
        <v>365</v>
      </c>
      <c r="D33" s="518">
        <v>5839.6</v>
      </c>
      <c r="E33" s="519"/>
      <c r="F33" s="520"/>
      <c r="G33" s="520"/>
      <c r="H33" s="521">
        <f>3.8643467935*1000</f>
        <v>3864.3467935000003</v>
      </c>
      <c r="I33" s="521">
        <f t="shared" si="3"/>
        <v>4932.16</v>
      </c>
      <c r="J33" s="502">
        <v>4042.21</v>
      </c>
      <c r="K33" s="502">
        <f>ROUND(J33/(1-21.65%),2)</f>
        <v>5159.17</v>
      </c>
      <c r="L33" s="522">
        <f>ROUND(5605*1.0365,2)</f>
        <v>5809.58</v>
      </c>
      <c r="M33" s="522">
        <f>4523*1.18</f>
        <v>5337.1399999999994</v>
      </c>
      <c r="N33" s="523"/>
      <c r="O33" s="504">
        <v>5839.6</v>
      </c>
      <c r="P33" s="503">
        <f t="shared" si="0"/>
        <v>1</v>
      </c>
      <c r="Q33" s="511" t="s">
        <v>394</v>
      </c>
      <c r="R33" s="505"/>
      <c r="S33" s="505">
        <v>3660.49</v>
      </c>
      <c r="T33" s="505">
        <v>3937.04</v>
      </c>
      <c r="U33" s="500">
        <v>4209.59</v>
      </c>
      <c r="V33" s="274"/>
      <c r="W33" s="276"/>
      <c r="X33" s="276"/>
      <c r="Y33" s="277"/>
      <c r="Z33" s="506"/>
      <c r="AA33" s="468"/>
      <c r="AI33" s="504">
        <v>4932.16</v>
      </c>
    </row>
    <row r="34" spans="1:35" x14ac:dyDescent="0.2">
      <c r="T34" s="470"/>
      <c r="U34" s="470"/>
      <c r="Y34" s="270"/>
    </row>
    <row r="35" spans="1:35" x14ac:dyDescent="0.2">
      <c r="T35" s="470"/>
      <c r="U35" s="470"/>
      <c r="Y35" s="270"/>
    </row>
    <row r="36" spans="1:35" x14ac:dyDescent="0.2">
      <c r="T36" s="470"/>
      <c r="U36" s="470"/>
      <c r="Y36" s="270"/>
    </row>
    <row r="37" spans="1:35" x14ac:dyDescent="0.2">
      <c r="T37" s="470"/>
      <c r="U37" s="470"/>
      <c r="Y37" s="270"/>
    </row>
    <row r="38" spans="1:35" x14ac:dyDescent="0.2">
      <c r="L38" s="470" t="s">
        <v>4</v>
      </c>
      <c r="T38" s="470"/>
      <c r="U38" s="470"/>
      <c r="Y38" s="270"/>
    </row>
    <row r="39" spans="1:35" x14ac:dyDescent="0.2">
      <c r="T39" s="470"/>
      <c r="U39" s="470"/>
      <c r="Y39" s="270"/>
    </row>
    <row r="40" spans="1:35" x14ac:dyDescent="0.2">
      <c r="T40" s="470"/>
      <c r="U40" s="470"/>
      <c r="Y40" s="270"/>
    </row>
    <row r="41" spans="1:35" x14ac:dyDescent="0.2">
      <c r="T41" s="470"/>
      <c r="U41" s="470"/>
      <c r="Y41" s="270"/>
    </row>
    <row r="42" spans="1:35" x14ac:dyDescent="0.2">
      <c r="T42" s="470"/>
      <c r="U42" s="470"/>
      <c r="Y42" s="270"/>
    </row>
    <row r="43" spans="1:35" x14ac:dyDescent="0.2">
      <c r="T43" s="470"/>
      <c r="U43" s="470"/>
      <c r="Y43" s="270"/>
    </row>
    <row r="44" spans="1:35" x14ac:dyDescent="0.2">
      <c r="T44" s="470"/>
      <c r="U44" s="470"/>
      <c r="Y44" s="270"/>
    </row>
    <row r="45" spans="1:35" x14ac:dyDescent="0.2">
      <c r="T45" s="470"/>
      <c r="U45" s="470"/>
      <c r="Y45" s="270"/>
    </row>
    <row r="46" spans="1:35" x14ac:dyDescent="0.2">
      <c r="T46" s="470"/>
      <c r="U46" s="470"/>
      <c r="Y46" s="270"/>
    </row>
    <row r="47" spans="1:35" x14ac:dyDescent="0.2">
      <c r="T47" s="470"/>
      <c r="U47" s="470"/>
      <c r="Y47" s="270"/>
    </row>
    <row r="48" spans="1:35" x14ac:dyDescent="0.2">
      <c r="T48" s="470"/>
      <c r="U48" s="470"/>
      <c r="Y48" s="270"/>
    </row>
    <row r="49" spans="20:25" x14ac:dyDescent="0.2">
      <c r="T49" s="470"/>
      <c r="U49" s="470"/>
      <c r="Y49" s="270"/>
    </row>
    <row r="50" spans="20:25" x14ac:dyDescent="0.2">
      <c r="T50" s="470"/>
      <c r="U50" s="470"/>
      <c r="Y50" s="270"/>
    </row>
    <row r="51" spans="20:25" x14ac:dyDescent="0.2">
      <c r="T51" s="470"/>
      <c r="U51" s="470"/>
      <c r="Y51" s="270"/>
    </row>
    <row r="52" spans="20:25" x14ac:dyDescent="0.2">
      <c r="T52" s="470"/>
      <c r="U52" s="470"/>
      <c r="Y52" s="270"/>
    </row>
    <row r="53" spans="20:25" x14ac:dyDescent="0.2">
      <c r="T53" s="470"/>
      <c r="U53" s="470"/>
      <c r="Y53" s="270"/>
    </row>
    <row r="54" spans="20:25" x14ac:dyDescent="0.2">
      <c r="T54" s="470"/>
      <c r="U54" s="470"/>
      <c r="Y54" s="270"/>
    </row>
    <row r="55" spans="20:25" x14ac:dyDescent="0.2">
      <c r="T55" s="470"/>
      <c r="U55" s="470"/>
      <c r="Y55" s="270"/>
    </row>
    <row r="56" spans="20:25" x14ac:dyDescent="0.2">
      <c r="T56" s="470"/>
      <c r="U56" s="470"/>
      <c r="Y56" s="270"/>
    </row>
    <row r="57" spans="20:25" x14ac:dyDescent="0.2">
      <c r="T57" s="470"/>
      <c r="U57" s="470"/>
      <c r="Y57" s="270"/>
    </row>
    <row r="58" spans="20:25" x14ac:dyDescent="0.2">
      <c r="T58" s="470"/>
      <c r="U58" s="470"/>
      <c r="Y58" s="270"/>
    </row>
    <row r="59" spans="20:25" x14ac:dyDescent="0.2">
      <c r="T59" s="470"/>
      <c r="U59" s="470"/>
      <c r="Y59" s="270"/>
    </row>
    <row r="60" spans="20:25" x14ac:dyDescent="0.2">
      <c r="T60" s="470"/>
      <c r="U60" s="470"/>
      <c r="Y60" s="270"/>
    </row>
    <row r="61" spans="20:25" x14ac:dyDescent="0.2">
      <c r="T61" s="470"/>
      <c r="U61" s="470"/>
      <c r="Y61" s="270"/>
    </row>
    <row r="62" spans="20:25" x14ac:dyDescent="0.2">
      <c r="T62" s="470"/>
      <c r="U62" s="470"/>
      <c r="Y62" s="270"/>
    </row>
    <row r="63" spans="20:25" x14ac:dyDescent="0.2">
      <c r="T63" s="470"/>
      <c r="U63" s="470"/>
      <c r="Y63" s="270"/>
    </row>
    <row r="64" spans="20:25" x14ac:dyDescent="0.2">
      <c r="T64" s="470"/>
      <c r="U64" s="470"/>
      <c r="Y64" s="270"/>
    </row>
    <row r="65" spans="20:25" x14ac:dyDescent="0.2">
      <c r="T65" s="470"/>
      <c r="U65" s="470"/>
      <c r="Y65" s="270"/>
    </row>
  </sheetData>
  <mergeCells count="1">
    <mergeCell ref="A8:B8"/>
  </mergeCells>
  <hyperlinks>
    <hyperlink ref="R6" r:id="rId1" display="https://www.gov.br/anp/pt-br/assuntos/precos-e-defesa-da-concorrencia/precos/precos-de-distribuicao-de-produtos-asfalticos" xr:uid="{0EED6A2B-6FCD-4C9F-9180-6EB65370F6A3}"/>
    <hyperlink ref="R7" r:id="rId2" display="https://www.gov.br/anp/pt-br/assuntos/precos-e-defesa-da-concorrencia/precos/precos-de-produtores-e-importadores-de-derivados-de-petroleo" xr:uid="{9BB7A7E9-744A-4B00-A6F1-AA815211E02E}"/>
  </hyperlink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E174-D57B-408B-A470-F875B829C23A}">
  <dimension ref="A1:K23"/>
  <sheetViews>
    <sheetView workbookViewId="0">
      <selection activeCell="C27" sqref="C27"/>
    </sheetView>
  </sheetViews>
  <sheetFormatPr defaultColWidth="9.33203125" defaultRowHeight="15" x14ac:dyDescent="0.25"/>
  <cols>
    <col min="1" max="1" width="9.33203125" style="86"/>
    <col min="2" max="2" width="24.1640625" style="86" customWidth="1"/>
    <col min="3" max="4" width="31.1640625" style="86" customWidth="1"/>
    <col min="5" max="10" width="9.33203125" style="86"/>
    <col min="11" max="11" width="12" style="86" customWidth="1"/>
    <col min="12" max="16384" width="9.33203125" style="86"/>
  </cols>
  <sheetData>
    <row r="1" spans="1:11" x14ac:dyDescent="0.25">
      <c r="A1" s="83" t="s">
        <v>204</v>
      </c>
      <c r="B1" s="84" t="s">
        <v>205</v>
      </c>
      <c r="C1" s="84"/>
      <c r="D1" s="84"/>
      <c r="E1" s="84"/>
      <c r="F1" s="84"/>
      <c r="G1" s="84"/>
      <c r="H1" s="84"/>
      <c r="I1" s="84"/>
      <c r="J1" s="84"/>
      <c r="K1" s="85"/>
    </row>
    <row r="2" spans="1:11" ht="21" x14ac:dyDescent="0.35">
      <c r="A2" s="87"/>
      <c r="B2" s="88" t="s">
        <v>206</v>
      </c>
      <c r="C2" s="88"/>
      <c r="D2" s="88"/>
      <c r="E2" s="89"/>
      <c r="F2" s="89"/>
      <c r="G2" s="89"/>
      <c r="H2" s="89"/>
      <c r="I2" s="89"/>
      <c r="J2" s="89"/>
      <c r="K2" s="90"/>
    </row>
    <row r="3" spans="1:11" ht="13.9" customHeight="1" x14ac:dyDescent="0.25">
      <c r="A3" s="87"/>
      <c r="B3" s="91" t="s">
        <v>207</v>
      </c>
      <c r="C3" s="92" t="s">
        <v>208</v>
      </c>
      <c r="D3" s="93"/>
      <c r="E3" s="89"/>
      <c r="F3" s="89"/>
      <c r="G3" s="89"/>
      <c r="H3" s="89"/>
      <c r="I3" s="89"/>
      <c r="J3" s="89"/>
      <c r="K3" s="90"/>
    </row>
    <row r="4" spans="1:11" ht="13.9" customHeight="1" x14ac:dyDescent="0.25">
      <c r="A4" s="87"/>
      <c r="B4" s="94" t="s">
        <v>209</v>
      </c>
      <c r="C4" s="95" t="s">
        <v>210</v>
      </c>
      <c r="D4" s="95" t="s">
        <v>211</v>
      </c>
      <c r="E4" s="89"/>
      <c r="F4" s="89"/>
      <c r="G4" s="89"/>
      <c r="H4" s="89"/>
      <c r="I4" s="89"/>
      <c r="J4" s="89"/>
      <c r="K4" s="90"/>
    </row>
    <row r="5" spans="1:11" ht="13.15" customHeight="1" x14ac:dyDescent="0.25">
      <c r="A5" s="87"/>
      <c r="B5" s="95" t="s">
        <v>212</v>
      </c>
      <c r="C5" s="95" t="s">
        <v>213</v>
      </c>
      <c r="D5" s="95" t="s">
        <v>214</v>
      </c>
      <c r="E5" s="89"/>
      <c r="F5" s="89"/>
      <c r="G5" s="89"/>
      <c r="H5" s="89"/>
      <c r="I5" s="89"/>
      <c r="J5" s="89"/>
      <c r="K5" s="90"/>
    </row>
    <row r="6" spans="1:11" ht="13.15" customHeight="1" x14ac:dyDescent="0.25">
      <c r="A6" s="87"/>
      <c r="B6" s="95" t="s">
        <v>215</v>
      </c>
      <c r="C6" s="95" t="s">
        <v>214</v>
      </c>
      <c r="D6" s="95" t="s">
        <v>216</v>
      </c>
      <c r="E6" s="89"/>
      <c r="F6" s="89"/>
      <c r="G6" s="89"/>
      <c r="H6" s="89"/>
      <c r="I6" s="89"/>
      <c r="J6" s="89"/>
      <c r="K6" s="90"/>
    </row>
    <row r="7" spans="1:11" ht="13.15" customHeight="1" x14ac:dyDescent="0.25">
      <c r="A7" s="87"/>
      <c r="B7" s="95" t="s">
        <v>217</v>
      </c>
      <c r="C7" s="95" t="s">
        <v>216</v>
      </c>
      <c r="D7" s="95" t="s">
        <v>218</v>
      </c>
      <c r="E7" s="96" t="s">
        <v>219</v>
      </c>
      <c r="F7" s="97" t="s">
        <v>220</v>
      </c>
      <c r="G7" s="89"/>
      <c r="H7" s="89"/>
      <c r="I7" s="89"/>
      <c r="J7" s="89"/>
      <c r="K7" s="90"/>
    </row>
    <row r="8" spans="1:11" ht="13.15" customHeight="1" x14ac:dyDescent="0.25">
      <c r="A8" s="87"/>
      <c r="B8" s="95" t="s">
        <v>221</v>
      </c>
      <c r="C8" s="95" t="s">
        <v>218</v>
      </c>
      <c r="D8" s="95" t="s">
        <v>222</v>
      </c>
      <c r="E8" s="89"/>
      <c r="F8" s="89"/>
      <c r="G8" s="89"/>
      <c r="H8" s="89"/>
      <c r="I8" s="89"/>
      <c r="J8" s="89"/>
      <c r="K8" s="90"/>
    </row>
    <row r="9" spans="1:11" ht="13.15" customHeight="1" x14ac:dyDescent="0.25">
      <c r="A9" s="87"/>
      <c r="B9" s="95" t="s">
        <v>223</v>
      </c>
      <c r="C9" s="95" t="s">
        <v>222</v>
      </c>
      <c r="D9" s="95" t="s">
        <v>224</v>
      </c>
      <c r="E9" s="89"/>
      <c r="F9" s="89"/>
      <c r="G9" s="89"/>
      <c r="H9" s="89"/>
      <c r="I9" s="89"/>
      <c r="J9" s="89"/>
      <c r="K9" s="90"/>
    </row>
    <row r="10" spans="1:11" ht="13.15" customHeight="1" x14ac:dyDescent="0.25">
      <c r="A10" s="87"/>
      <c r="B10" s="95" t="s">
        <v>225</v>
      </c>
      <c r="C10" s="95" t="s">
        <v>224</v>
      </c>
      <c r="D10" s="95" t="s">
        <v>226</v>
      </c>
      <c r="E10" s="89"/>
      <c r="F10" s="89"/>
      <c r="G10" s="89"/>
      <c r="H10" s="89"/>
      <c r="I10" s="89"/>
      <c r="J10" s="89"/>
      <c r="K10" s="90"/>
    </row>
    <row r="11" spans="1:11" ht="13.15" customHeight="1" x14ac:dyDescent="0.25">
      <c r="A11" s="87"/>
      <c r="B11" s="95" t="s">
        <v>227</v>
      </c>
      <c r="C11" s="95" t="s">
        <v>226</v>
      </c>
      <c r="D11" s="95" t="s">
        <v>228</v>
      </c>
      <c r="E11" s="89"/>
      <c r="F11" s="89"/>
      <c r="G11" s="89"/>
      <c r="H11" s="89"/>
      <c r="I11" s="89"/>
      <c r="J11" s="89"/>
      <c r="K11" s="90"/>
    </row>
    <row r="12" spans="1:11" ht="9" customHeight="1" x14ac:dyDescent="0.25">
      <c r="A12" s="87"/>
      <c r="B12" s="98"/>
      <c r="C12" s="98"/>
      <c r="D12" s="98"/>
      <c r="E12" s="89"/>
      <c r="F12" s="89"/>
      <c r="G12" s="89"/>
      <c r="H12" s="89"/>
      <c r="I12" s="89"/>
      <c r="J12" s="89"/>
      <c r="K12" s="90"/>
    </row>
    <row r="13" spans="1:11" ht="13.15" customHeight="1" x14ac:dyDescent="0.25">
      <c r="A13" s="99">
        <v>2</v>
      </c>
      <c r="B13" s="98" t="s">
        <v>229</v>
      </c>
      <c r="C13" s="98"/>
      <c r="D13" s="98"/>
      <c r="E13" s="88"/>
      <c r="F13" s="88"/>
      <c r="G13" s="88"/>
      <c r="H13" s="88"/>
      <c r="I13" s="88"/>
      <c r="J13" s="88"/>
      <c r="K13" s="90"/>
    </row>
    <row r="14" spans="1:11" ht="13.15" customHeight="1" x14ac:dyDescent="0.25">
      <c r="A14" s="87"/>
      <c r="B14" s="98" t="s">
        <v>230</v>
      </c>
      <c r="C14" s="98"/>
      <c r="D14" s="98"/>
      <c r="E14" s="89"/>
      <c r="F14" s="89"/>
      <c r="G14" s="89"/>
      <c r="H14" s="89"/>
      <c r="I14" s="89"/>
      <c r="J14" s="89"/>
      <c r="K14" s="90"/>
    </row>
    <row r="15" spans="1:11" ht="13.15" customHeight="1" x14ac:dyDescent="0.25">
      <c r="A15" s="87"/>
      <c r="B15" s="91" t="s">
        <v>207</v>
      </c>
      <c r="C15" s="92" t="s">
        <v>208</v>
      </c>
      <c r="D15" s="93"/>
      <c r="E15" s="89"/>
      <c r="F15" s="89"/>
      <c r="G15" s="89"/>
      <c r="H15" s="89"/>
      <c r="I15" s="89"/>
      <c r="J15" s="89"/>
      <c r="K15" s="90"/>
    </row>
    <row r="16" spans="1:11" ht="13.15" customHeight="1" x14ac:dyDescent="0.25">
      <c r="A16" s="87"/>
      <c r="B16" s="94" t="s">
        <v>209</v>
      </c>
      <c r="C16" s="95" t="s">
        <v>210</v>
      </c>
      <c r="D16" s="95" t="s">
        <v>211</v>
      </c>
      <c r="E16" s="89"/>
      <c r="F16" s="89"/>
      <c r="G16" s="89"/>
      <c r="H16" s="89"/>
      <c r="I16" s="89"/>
      <c r="J16" s="89"/>
      <c r="K16" s="90"/>
    </row>
    <row r="17" spans="1:11" ht="13.15" customHeight="1" x14ac:dyDescent="0.25">
      <c r="A17" s="87"/>
      <c r="B17" s="95" t="s">
        <v>212</v>
      </c>
      <c r="C17" s="95" t="s">
        <v>213</v>
      </c>
      <c r="D17" s="95" t="s">
        <v>231</v>
      </c>
      <c r="E17" s="89"/>
      <c r="F17" s="89"/>
      <c r="G17" s="89"/>
      <c r="H17" s="89"/>
      <c r="I17" s="89"/>
      <c r="J17" s="89"/>
      <c r="K17" s="90"/>
    </row>
    <row r="18" spans="1:11" ht="13.15" customHeight="1" x14ac:dyDescent="0.25">
      <c r="A18" s="87"/>
      <c r="B18" s="95" t="s">
        <v>215</v>
      </c>
      <c r="C18" s="95" t="s">
        <v>231</v>
      </c>
      <c r="D18" s="95" t="s">
        <v>232</v>
      </c>
      <c r="E18" s="96" t="s">
        <v>219</v>
      </c>
      <c r="F18" s="97" t="s">
        <v>233</v>
      </c>
      <c r="G18" s="89"/>
      <c r="H18" s="89"/>
      <c r="I18" s="89"/>
      <c r="J18" s="89"/>
      <c r="K18" s="90"/>
    </row>
    <row r="19" spans="1:11" ht="13.15" customHeight="1" x14ac:dyDescent="0.25">
      <c r="A19" s="87"/>
      <c r="B19" s="95" t="s">
        <v>217</v>
      </c>
      <c r="C19" s="95" t="s">
        <v>232</v>
      </c>
      <c r="D19" s="95" t="s">
        <v>234</v>
      </c>
      <c r="E19" s="89"/>
      <c r="F19" s="89"/>
      <c r="G19" s="89"/>
      <c r="H19" s="89"/>
      <c r="I19" s="89"/>
      <c r="J19" s="89"/>
      <c r="K19" s="90"/>
    </row>
    <row r="20" spans="1:11" ht="13.15" customHeight="1" x14ac:dyDescent="0.25">
      <c r="A20" s="87"/>
      <c r="B20" s="95" t="s">
        <v>221</v>
      </c>
      <c r="C20" s="95" t="s">
        <v>234</v>
      </c>
      <c r="D20" s="95" t="s">
        <v>228</v>
      </c>
      <c r="E20" s="89"/>
      <c r="F20" s="89"/>
      <c r="G20" s="89"/>
      <c r="H20" s="89"/>
      <c r="I20" s="89"/>
      <c r="J20" s="89"/>
      <c r="K20" s="90"/>
    </row>
    <row r="21" spans="1:11" ht="13.15" customHeight="1" x14ac:dyDescent="0.25">
      <c r="A21" s="87"/>
      <c r="B21" s="95" t="s">
        <v>223</v>
      </c>
      <c r="C21" s="95" t="s">
        <v>228</v>
      </c>
      <c r="D21" s="95" t="s">
        <v>235</v>
      </c>
      <c r="E21" s="89"/>
      <c r="F21" s="89"/>
      <c r="G21" s="89"/>
      <c r="H21" s="89"/>
      <c r="I21" s="89"/>
      <c r="J21" s="89"/>
      <c r="K21" s="90"/>
    </row>
    <row r="22" spans="1:11" ht="13.15" customHeight="1" x14ac:dyDescent="0.25">
      <c r="A22" s="87"/>
      <c r="B22" s="95" t="s">
        <v>225</v>
      </c>
      <c r="C22" s="95" t="s">
        <v>235</v>
      </c>
      <c r="D22" s="95" t="s">
        <v>236</v>
      </c>
      <c r="E22" s="89"/>
      <c r="F22" s="89"/>
      <c r="G22" s="89"/>
      <c r="H22" s="89"/>
      <c r="I22" s="89"/>
      <c r="J22" s="89"/>
      <c r="K22" s="90"/>
    </row>
    <row r="23" spans="1:11" ht="13.15" customHeight="1" thickBot="1" x14ac:dyDescent="0.3">
      <c r="A23" s="100"/>
      <c r="B23" s="101" t="s">
        <v>227</v>
      </c>
      <c r="C23" s="101" t="s">
        <v>236</v>
      </c>
      <c r="D23" s="101" t="s">
        <v>237</v>
      </c>
      <c r="E23" s="102"/>
      <c r="F23" s="102"/>
      <c r="G23" s="102"/>
      <c r="H23" s="102"/>
      <c r="I23" s="102"/>
      <c r="J23" s="102"/>
      <c r="K23" s="103"/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DE30-1CC7-4976-98CD-71D4C622912B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51" customWidth="1"/>
    <col min="2" max="2" width="13.1640625" style="51" customWidth="1"/>
    <col min="3" max="3" width="38" style="51" customWidth="1"/>
    <col min="4" max="4" width="3.83203125" style="51" customWidth="1"/>
    <col min="5" max="16" width="10" style="51" customWidth="1"/>
    <col min="17" max="17" width="10.6640625" style="51" customWidth="1"/>
    <col min="18" max="255" width="10.6640625" style="51"/>
    <col min="256" max="256" width="13.1640625" style="51" customWidth="1"/>
    <col min="257" max="257" width="79" style="51" customWidth="1"/>
    <col min="258" max="258" width="3.83203125" style="51" customWidth="1"/>
    <col min="259" max="271" width="12.5" style="51" customWidth="1"/>
    <col min="272" max="272" width="8.5" style="51" customWidth="1"/>
    <col min="273" max="511" width="10.6640625" style="51"/>
    <col min="512" max="512" width="13.1640625" style="51" customWidth="1"/>
    <col min="513" max="513" width="79" style="51" customWidth="1"/>
    <col min="514" max="514" width="3.83203125" style="51" customWidth="1"/>
    <col min="515" max="527" width="12.5" style="51" customWidth="1"/>
    <col min="528" max="528" width="8.5" style="51" customWidth="1"/>
    <col min="529" max="767" width="10.6640625" style="51"/>
    <col min="768" max="768" width="13.1640625" style="51" customWidth="1"/>
    <col min="769" max="769" width="79" style="51" customWidth="1"/>
    <col min="770" max="770" width="3.83203125" style="51" customWidth="1"/>
    <col min="771" max="783" width="12.5" style="51" customWidth="1"/>
    <col min="784" max="784" width="8.5" style="51" customWidth="1"/>
    <col min="785" max="1023" width="10.6640625" style="51"/>
    <col min="1024" max="1024" width="13.1640625" style="51" customWidth="1"/>
    <col min="1025" max="1025" width="79" style="51" customWidth="1"/>
    <col min="1026" max="1026" width="3.83203125" style="51" customWidth="1"/>
    <col min="1027" max="1039" width="12.5" style="51" customWidth="1"/>
    <col min="1040" max="1040" width="8.5" style="51" customWidth="1"/>
    <col min="1041" max="1279" width="10.6640625" style="51"/>
    <col min="1280" max="1280" width="13.1640625" style="51" customWidth="1"/>
    <col min="1281" max="1281" width="79" style="51" customWidth="1"/>
    <col min="1282" max="1282" width="3.83203125" style="51" customWidth="1"/>
    <col min="1283" max="1295" width="12.5" style="51" customWidth="1"/>
    <col min="1296" max="1296" width="8.5" style="51" customWidth="1"/>
    <col min="1297" max="1535" width="10.6640625" style="51"/>
    <col min="1536" max="1536" width="13.1640625" style="51" customWidth="1"/>
    <col min="1537" max="1537" width="79" style="51" customWidth="1"/>
    <col min="1538" max="1538" width="3.83203125" style="51" customWidth="1"/>
    <col min="1539" max="1551" width="12.5" style="51" customWidth="1"/>
    <col min="1552" max="1552" width="8.5" style="51" customWidth="1"/>
    <col min="1553" max="1791" width="10.6640625" style="51"/>
    <col min="1792" max="1792" width="13.1640625" style="51" customWidth="1"/>
    <col min="1793" max="1793" width="79" style="51" customWidth="1"/>
    <col min="1794" max="1794" width="3.83203125" style="51" customWidth="1"/>
    <col min="1795" max="1807" width="12.5" style="51" customWidth="1"/>
    <col min="1808" max="1808" width="8.5" style="51" customWidth="1"/>
    <col min="1809" max="2047" width="10.6640625" style="51"/>
    <col min="2048" max="2048" width="13.1640625" style="51" customWidth="1"/>
    <col min="2049" max="2049" width="79" style="51" customWidth="1"/>
    <col min="2050" max="2050" width="3.83203125" style="51" customWidth="1"/>
    <col min="2051" max="2063" width="12.5" style="51" customWidth="1"/>
    <col min="2064" max="2064" width="8.5" style="51" customWidth="1"/>
    <col min="2065" max="2303" width="10.6640625" style="51"/>
    <col min="2304" max="2304" width="13.1640625" style="51" customWidth="1"/>
    <col min="2305" max="2305" width="79" style="51" customWidth="1"/>
    <col min="2306" max="2306" width="3.83203125" style="51" customWidth="1"/>
    <col min="2307" max="2319" width="12.5" style="51" customWidth="1"/>
    <col min="2320" max="2320" width="8.5" style="51" customWidth="1"/>
    <col min="2321" max="2559" width="10.6640625" style="51"/>
    <col min="2560" max="2560" width="13.1640625" style="51" customWidth="1"/>
    <col min="2561" max="2561" width="79" style="51" customWidth="1"/>
    <col min="2562" max="2562" width="3.83203125" style="51" customWidth="1"/>
    <col min="2563" max="2575" width="12.5" style="51" customWidth="1"/>
    <col min="2576" max="2576" width="8.5" style="51" customWidth="1"/>
    <col min="2577" max="2815" width="10.6640625" style="51"/>
    <col min="2816" max="2816" width="13.1640625" style="51" customWidth="1"/>
    <col min="2817" max="2817" width="79" style="51" customWidth="1"/>
    <col min="2818" max="2818" width="3.83203125" style="51" customWidth="1"/>
    <col min="2819" max="2831" width="12.5" style="51" customWidth="1"/>
    <col min="2832" max="2832" width="8.5" style="51" customWidth="1"/>
    <col min="2833" max="3071" width="10.6640625" style="51"/>
    <col min="3072" max="3072" width="13.1640625" style="51" customWidth="1"/>
    <col min="3073" max="3073" width="79" style="51" customWidth="1"/>
    <col min="3074" max="3074" width="3.83203125" style="51" customWidth="1"/>
    <col min="3075" max="3087" width="12.5" style="51" customWidth="1"/>
    <col min="3088" max="3088" width="8.5" style="51" customWidth="1"/>
    <col min="3089" max="3327" width="10.6640625" style="51"/>
    <col min="3328" max="3328" width="13.1640625" style="51" customWidth="1"/>
    <col min="3329" max="3329" width="79" style="51" customWidth="1"/>
    <col min="3330" max="3330" width="3.83203125" style="51" customWidth="1"/>
    <col min="3331" max="3343" width="12.5" style="51" customWidth="1"/>
    <col min="3344" max="3344" width="8.5" style="51" customWidth="1"/>
    <col min="3345" max="3583" width="10.6640625" style="51"/>
    <col min="3584" max="3584" width="13.1640625" style="51" customWidth="1"/>
    <col min="3585" max="3585" width="79" style="51" customWidth="1"/>
    <col min="3586" max="3586" width="3.83203125" style="51" customWidth="1"/>
    <col min="3587" max="3599" width="12.5" style="51" customWidth="1"/>
    <col min="3600" max="3600" width="8.5" style="51" customWidth="1"/>
    <col min="3601" max="3839" width="10.6640625" style="51"/>
    <col min="3840" max="3840" width="13.1640625" style="51" customWidth="1"/>
    <col min="3841" max="3841" width="79" style="51" customWidth="1"/>
    <col min="3842" max="3842" width="3.83203125" style="51" customWidth="1"/>
    <col min="3843" max="3855" width="12.5" style="51" customWidth="1"/>
    <col min="3856" max="3856" width="8.5" style="51" customWidth="1"/>
    <col min="3857" max="4095" width="10.6640625" style="51"/>
    <col min="4096" max="4096" width="13.1640625" style="51" customWidth="1"/>
    <col min="4097" max="4097" width="79" style="51" customWidth="1"/>
    <col min="4098" max="4098" width="3.83203125" style="51" customWidth="1"/>
    <col min="4099" max="4111" width="12.5" style="51" customWidth="1"/>
    <col min="4112" max="4112" width="8.5" style="51" customWidth="1"/>
    <col min="4113" max="4351" width="10.6640625" style="51"/>
    <col min="4352" max="4352" width="13.1640625" style="51" customWidth="1"/>
    <col min="4353" max="4353" width="79" style="51" customWidth="1"/>
    <col min="4354" max="4354" width="3.83203125" style="51" customWidth="1"/>
    <col min="4355" max="4367" width="12.5" style="51" customWidth="1"/>
    <col min="4368" max="4368" width="8.5" style="51" customWidth="1"/>
    <col min="4369" max="4607" width="10.6640625" style="51"/>
    <col min="4608" max="4608" width="13.1640625" style="51" customWidth="1"/>
    <col min="4609" max="4609" width="79" style="51" customWidth="1"/>
    <col min="4610" max="4610" width="3.83203125" style="51" customWidth="1"/>
    <col min="4611" max="4623" width="12.5" style="51" customWidth="1"/>
    <col min="4624" max="4624" width="8.5" style="51" customWidth="1"/>
    <col min="4625" max="4863" width="10.6640625" style="51"/>
    <col min="4864" max="4864" width="13.1640625" style="51" customWidth="1"/>
    <col min="4865" max="4865" width="79" style="51" customWidth="1"/>
    <col min="4866" max="4866" width="3.83203125" style="51" customWidth="1"/>
    <col min="4867" max="4879" width="12.5" style="51" customWidth="1"/>
    <col min="4880" max="4880" width="8.5" style="51" customWidth="1"/>
    <col min="4881" max="5119" width="10.6640625" style="51"/>
    <col min="5120" max="5120" width="13.1640625" style="51" customWidth="1"/>
    <col min="5121" max="5121" width="79" style="51" customWidth="1"/>
    <col min="5122" max="5122" width="3.83203125" style="51" customWidth="1"/>
    <col min="5123" max="5135" width="12.5" style="51" customWidth="1"/>
    <col min="5136" max="5136" width="8.5" style="51" customWidth="1"/>
    <col min="5137" max="5375" width="10.6640625" style="51"/>
    <col min="5376" max="5376" width="13.1640625" style="51" customWidth="1"/>
    <col min="5377" max="5377" width="79" style="51" customWidth="1"/>
    <col min="5378" max="5378" width="3.83203125" style="51" customWidth="1"/>
    <col min="5379" max="5391" width="12.5" style="51" customWidth="1"/>
    <col min="5392" max="5392" width="8.5" style="51" customWidth="1"/>
    <col min="5393" max="5631" width="10.6640625" style="51"/>
    <col min="5632" max="5632" width="13.1640625" style="51" customWidth="1"/>
    <col min="5633" max="5633" width="79" style="51" customWidth="1"/>
    <col min="5634" max="5634" width="3.83203125" style="51" customWidth="1"/>
    <col min="5635" max="5647" width="12.5" style="51" customWidth="1"/>
    <col min="5648" max="5648" width="8.5" style="51" customWidth="1"/>
    <col min="5649" max="5887" width="10.6640625" style="51"/>
    <col min="5888" max="5888" width="13.1640625" style="51" customWidth="1"/>
    <col min="5889" max="5889" width="79" style="51" customWidth="1"/>
    <col min="5890" max="5890" width="3.83203125" style="51" customWidth="1"/>
    <col min="5891" max="5903" width="12.5" style="51" customWidth="1"/>
    <col min="5904" max="5904" width="8.5" style="51" customWidth="1"/>
    <col min="5905" max="6143" width="10.6640625" style="51"/>
    <col min="6144" max="6144" width="13.1640625" style="51" customWidth="1"/>
    <col min="6145" max="6145" width="79" style="51" customWidth="1"/>
    <col min="6146" max="6146" width="3.83203125" style="51" customWidth="1"/>
    <col min="6147" max="6159" width="12.5" style="51" customWidth="1"/>
    <col min="6160" max="6160" width="8.5" style="51" customWidth="1"/>
    <col min="6161" max="6399" width="10.6640625" style="51"/>
    <col min="6400" max="6400" width="13.1640625" style="51" customWidth="1"/>
    <col min="6401" max="6401" width="79" style="51" customWidth="1"/>
    <col min="6402" max="6402" width="3.83203125" style="51" customWidth="1"/>
    <col min="6403" max="6415" width="12.5" style="51" customWidth="1"/>
    <col min="6416" max="6416" width="8.5" style="51" customWidth="1"/>
    <col min="6417" max="6655" width="10.6640625" style="51"/>
    <col min="6656" max="6656" width="13.1640625" style="51" customWidth="1"/>
    <col min="6657" max="6657" width="79" style="51" customWidth="1"/>
    <col min="6658" max="6658" width="3.83203125" style="51" customWidth="1"/>
    <col min="6659" max="6671" width="12.5" style="51" customWidth="1"/>
    <col min="6672" max="6672" width="8.5" style="51" customWidth="1"/>
    <col min="6673" max="6911" width="10.6640625" style="51"/>
    <col min="6912" max="6912" width="13.1640625" style="51" customWidth="1"/>
    <col min="6913" max="6913" width="79" style="51" customWidth="1"/>
    <col min="6914" max="6914" width="3.83203125" style="51" customWidth="1"/>
    <col min="6915" max="6927" width="12.5" style="51" customWidth="1"/>
    <col min="6928" max="6928" width="8.5" style="51" customWidth="1"/>
    <col min="6929" max="7167" width="10.6640625" style="51"/>
    <col min="7168" max="7168" width="13.1640625" style="51" customWidth="1"/>
    <col min="7169" max="7169" width="79" style="51" customWidth="1"/>
    <col min="7170" max="7170" width="3.83203125" style="51" customWidth="1"/>
    <col min="7171" max="7183" width="12.5" style="51" customWidth="1"/>
    <col min="7184" max="7184" width="8.5" style="51" customWidth="1"/>
    <col min="7185" max="7423" width="10.6640625" style="51"/>
    <col min="7424" max="7424" width="13.1640625" style="51" customWidth="1"/>
    <col min="7425" max="7425" width="79" style="51" customWidth="1"/>
    <col min="7426" max="7426" width="3.83203125" style="51" customWidth="1"/>
    <col min="7427" max="7439" width="12.5" style="51" customWidth="1"/>
    <col min="7440" max="7440" width="8.5" style="51" customWidth="1"/>
    <col min="7441" max="7679" width="10.6640625" style="51"/>
    <col min="7680" max="7680" width="13.1640625" style="51" customWidth="1"/>
    <col min="7681" max="7681" width="79" style="51" customWidth="1"/>
    <col min="7682" max="7682" width="3.83203125" style="51" customWidth="1"/>
    <col min="7683" max="7695" width="12.5" style="51" customWidth="1"/>
    <col min="7696" max="7696" width="8.5" style="51" customWidth="1"/>
    <col min="7697" max="7935" width="10.6640625" style="51"/>
    <col min="7936" max="7936" width="13.1640625" style="51" customWidth="1"/>
    <col min="7937" max="7937" width="79" style="51" customWidth="1"/>
    <col min="7938" max="7938" width="3.83203125" style="51" customWidth="1"/>
    <col min="7939" max="7951" width="12.5" style="51" customWidth="1"/>
    <col min="7952" max="7952" width="8.5" style="51" customWidth="1"/>
    <col min="7953" max="8191" width="10.6640625" style="51"/>
    <col min="8192" max="8192" width="13.1640625" style="51" customWidth="1"/>
    <col min="8193" max="8193" width="79" style="51" customWidth="1"/>
    <col min="8194" max="8194" width="3.83203125" style="51" customWidth="1"/>
    <col min="8195" max="8207" width="12.5" style="51" customWidth="1"/>
    <col min="8208" max="8208" width="8.5" style="51" customWidth="1"/>
    <col min="8209" max="8447" width="10.6640625" style="51"/>
    <col min="8448" max="8448" width="13.1640625" style="51" customWidth="1"/>
    <col min="8449" max="8449" width="79" style="51" customWidth="1"/>
    <col min="8450" max="8450" width="3.83203125" style="51" customWidth="1"/>
    <col min="8451" max="8463" width="12.5" style="51" customWidth="1"/>
    <col min="8464" max="8464" width="8.5" style="51" customWidth="1"/>
    <col min="8465" max="8703" width="10.6640625" style="51"/>
    <col min="8704" max="8704" width="13.1640625" style="51" customWidth="1"/>
    <col min="8705" max="8705" width="79" style="51" customWidth="1"/>
    <col min="8706" max="8706" width="3.83203125" style="51" customWidth="1"/>
    <col min="8707" max="8719" width="12.5" style="51" customWidth="1"/>
    <col min="8720" max="8720" width="8.5" style="51" customWidth="1"/>
    <col min="8721" max="8959" width="10.6640625" style="51"/>
    <col min="8960" max="8960" width="13.1640625" style="51" customWidth="1"/>
    <col min="8961" max="8961" width="79" style="51" customWidth="1"/>
    <col min="8962" max="8962" width="3.83203125" style="51" customWidth="1"/>
    <col min="8963" max="8975" width="12.5" style="51" customWidth="1"/>
    <col min="8976" max="8976" width="8.5" style="51" customWidth="1"/>
    <col min="8977" max="9215" width="10.6640625" style="51"/>
    <col min="9216" max="9216" width="13.1640625" style="51" customWidth="1"/>
    <col min="9217" max="9217" width="79" style="51" customWidth="1"/>
    <col min="9218" max="9218" width="3.83203125" style="51" customWidth="1"/>
    <col min="9219" max="9231" width="12.5" style="51" customWidth="1"/>
    <col min="9232" max="9232" width="8.5" style="51" customWidth="1"/>
    <col min="9233" max="9471" width="10.6640625" style="51"/>
    <col min="9472" max="9472" width="13.1640625" style="51" customWidth="1"/>
    <col min="9473" max="9473" width="79" style="51" customWidth="1"/>
    <col min="9474" max="9474" width="3.83203125" style="51" customWidth="1"/>
    <col min="9475" max="9487" width="12.5" style="51" customWidth="1"/>
    <col min="9488" max="9488" width="8.5" style="51" customWidth="1"/>
    <col min="9489" max="9727" width="10.6640625" style="51"/>
    <col min="9728" max="9728" width="13.1640625" style="51" customWidth="1"/>
    <col min="9729" max="9729" width="79" style="51" customWidth="1"/>
    <col min="9730" max="9730" width="3.83203125" style="51" customWidth="1"/>
    <col min="9731" max="9743" width="12.5" style="51" customWidth="1"/>
    <col min="9744" max="9744" width="8.5" style="51" customWidth="1"/>
    <col min="9745" max="9983" width="10.6640625" style="51"/>
    <col min="9984" max="9984" width="13.1640625" style="51" customWidth="1"/>
    <col min="9985" max="9985" width="79" style="51" customWidth="1"/>
    <col min="9986" max="9986" width="3.83203125" style="51" customWidth="1"/>
    <col min="9987" max="9999" width="12.5" style="51" customWidth="1"/>
    <col min="10000" max="10000" width="8.5" style="51" customWidth="1"/>
    <col min="10001" max="10239" width="10.6640625" style="51"/>
    <col min="10240" max="10240" width="13.1640625" style="51" customWidth="1"/>
    <col min="10241" max="10241" width="79" style="51" customWidth="1"/>
    <col min="10242" max="10242" width="3.83203125" style="51" customWidth="1"/>
    <col min="10243" max="10255" width="12.5" style="51" customWidth="1"/>
    <col min="10256" max="10256" width="8.5" style="51" customWidth="1"/>
    <col min="10257" max="10495" width="10.6640625" style="51"/>
    <col min="10496" max="10496" width="13.1640625" style="51" customWidth="1"/>
    <col min="10497" max="10497" width="79" style="51" customWidth="1"/>
    <col min="10498" max="10498" width="3.83203125" style="51" customWidth="1"/>
    <col min="10499" max="10511" width="12.5" style="51" customWidth="1"/>
    <col min="10512" max="10512" width="8.5" style="51" customWidth="1"/>
    <col min="10513" max="10751" width="10.6640625" style="51"/>
    <col min="10752" max="10752" width="13.1640625" style="51" customWidth="1"/>
    <col min="10753" max="10753" width="79" style="51" customWidth="1"/>
    <col min="10754" max="10754" width="3.83203125" style="51" customWidth="1"/>
    <col min="10755" max="10767" width="12.5" style="51" customWidth="1"/>
    <col min="10768" max="10768" width="8.5" style="51" customWidth="1"/>
    <col min="10769" max="11007" width="10.6640625" style="51"/>
    <col min="11008" max="11008" width="13.1640625" style="51" customWidth="1"/>
    <col min="11009" max="11009" width="79" style="51" customWidth="1"/>
    <col min="11010" max="11010" width="3.83203125" style="51" customWidth="1"/>
    <col min="11011" max="11023" width="12.5" style="51" customWidth="1"/>
    <col min="11024" max="11024" width="8.5" style="51" customWidth="1"/>
    <col min="11025" max="11263" width="10.6640625" style="51"/>
    <col min="11264" max="11264" width="13.1640625" style="51" customWidth="1"/>
    <col min="11265" max="11265" width="79" style="51" customWidth="1"/>
    <col min="11266" max="11266" width="3.83203125" style="51" customWidth="1"/>
    <col min="11267" max="11279" width="12.5" style="51" customWidth="1"/>
    <col min="11280" max="11280" width="8.5" style="51" customWidth="1"/>
    <col min="11281" max="11519" width="10.6640625" style="51"/>
    <col min="11520" max="11520" width="13.1640625" style="51" customWidth="1"/>
    <col min="11521" max="11521" width="79" style="51" customWidth="1"/>
    <col min="11522" max="11522" width="3.83203125" style="51" customWidth="1"/>
    <col min="11523" max="11535" width="12.5" style="51" customWidth="1"/>
    <col min="11536" max="11536" width="8.5" style="51" customWidth="1"/>
    <col min="11537" max="11775" width="10.6640625" style="51"/>
    <col min="11776" max="11776" width="13.1640625" style="51" customWidth="1"/>
    <col min="11777" max="11777" width="79" style="51" customWidth="1"/>
    <col min="11778" max="11778" width="3.83203125" style="51" customWidth="1"/>
    <col min="11779" max="11791" width="12.5" style="51" customWidth="1"/>
    <col min="11792" max="11792" width="8.5" style="51" customWidth="1"/>
    <col min="11793" max="12031" width="10.6640625" style="51"/>
    <col min="12032" max="12032" width="13.1640625" style="51" customWidth="1"/>
    <col min="12033" max="12033" width="79" style="51" customWidth="1"/>
    <col min="12034" max="12034" width="3.83203125" style="51" customWidth="1"/>
    <col min="12035" max="12047" width="12.5" style="51" customWidth="1"/>
    <col min="12048" max="12048" width="8.5" style="51" customWidth="1"/>
    <col min="12049" max="12287" width="10.6640625" style="51"/>
    <col min="12288" max="12288" width="13.1640625" style="51" customWidth="1"/>
    <col min="12289" max="12289" width="79" style="51" customWidth="1"/>
    <col min="12290" max="12290" width="3.83203125" style="51" customWidth="1"/>
    <col min="12291" max="12303" width="12.5" style="51" customWidth="1"/>
    <col min="12304" max="12304" width="8.5" style="51" customWidth="1"/>
    <col min="12305" max="12543" width="10.6640625" style="51"/>
    <col min="12544" max="12544" width="13.1640625" style="51" customWidth="1"/>
    <col min="12545" max="12545" width="79" style="51" customWidth="1"/>
    <col min="12546" max="12546" width="3.83203125" style="51" customWidth="1"/>
    <col min="12547" max="12559" width="12.5" style="51" customWidth="1"/>
    <col min="12560" max="12560" width="8.5" style="51" customWidth="1"/>
    <col min="12561" max="12799" width="10.6640625" style="51"/>
    <col min="12800" max="12800" width="13.1640625" style="51" customWidth="1"/>
    <col min="12801" max="12801" width="79" style="51" customWidth="1"/>
    <col min="12802" max="12802" width="3.83203125" style="51" customWidth="1"/>
    <col min="12803" max="12815" width="12.5" style="51" customWidth="1"/>
    <col min="12816" max="12816" width="8.5" style="51" customWidth="1"/>
    <col min="12817" max="13055" width="10.6640625" style="51"/>
    <col min="13056" max="13056" width="13.1640625" style="51" customWidth="1"/>
    <col min="13057" max="13057" width="79" style="51" customWidth="1"/>
    <col min="13058" max="13058" width="3.83203125" style="51" customWidth="1"/>
    <col min="13059" max="13071" width="12.5" style="51" customWidth="1"/>
    <col min="13072" max="13072" width="8.5" style="51" customWidth="1"/>
    <col min="13073" max="13311" width="10.6640625" style="51"/>
    <col min="13312" max="13312" width="13.1640625" style="51" customWidth="1"/>
    <col min="13313" max="13313" width="79" style="51" customWidth="1"/>
    <col min="13314" max="13314" width="3.83203125" style="51" customWidth="1"/>
    <col min="13315" max="13327" width="12.5" style="51" customWidth="1"/>
    <col min="13328" max="13328" width="8.5" style="51" customWidth="1"/>
    <col min="13329" max="13567" width="10.6640625" style="51"/>
    <col min="13568" max="13568" width="13.1640625" style="51" customWidth="1"/>
    <col min="13569" max="13569" width="79" style="51" customWidth="1"/>
    <col min="13570" max="13570" width="3.83203125" style="51" customWidth="1"/>
    <col min="13571" max="13583" width="12.5" style="51" customWidth="1"/>
    <col min="13584" max="13584" width="8.5" style="51" customWidth="1"/>
    <col min="13585" max="13823" width="10.6640625" style="51"/>
    <col min="13824" max="13824" width="13.1640625" style="51" customWidth="1"/>
    <col min="13825" max="13825" width="79" style="51" customWidth="1"/>
    <col min="13826" max="13826" width="3.83203125" style="51" customWidth="1"/>
    <col min="13827" max="13839" width="12.5" style="51" customWidth="1"/>
    <col min="13840" max="13840" width="8.5" style="51" customWidth="1"/>
    <col min="13841" max="14079" width="10.6640625" style="51"/>
    <col min="14080" max="14080" width="13.1640625" style="51" customWidth="1"/>
    <col min="14081" max="14081" width="79" style="51" customWidth="1"/>
    <col min="14082" max="14082" width="3.83203125" style="51" customWidth="1"/>
    <col min="14083" max="14095" width="12.5" style="51" customWidth="1"/>
    <col min="14096" max="14096" width="8.5" style="51" customWidth="1"/>
    <col min="14097" max="14335" width="10.6640625" style="51"/>
    <col min="14336" max="14336" width="13.1640625" style="51" customWidth="1"/>
    <col min="14337" max="14337" width="79" style="51" customWidth="1"/>
    <col min="14338" max="14338" width="3.83203125" style="51" customWidth="1"/>
    <col min="14339" max="14351" width="12.5" style="51" customWidth="1"/>
    <col min="14352" max="14352" width="8.5" style="51" customWidth="1"/>
    <col min="14353" max="14591" width="10.6640625" style="51"/>
    <col min="14592" max="14592" width="13.1640625" style="51" customWidth="1"/>
    <col min="14593" max="14593" width="79" style="51" customWidth="1"/>
    <col min="14594" max="14594" width="3.83203125" style="51" customWidth="1"/>
    <col min="14595" max="14607" width="12.5" style="51" customWidth="1"/>
    <col min="14608" max="14608" width="8.5" style="51" customWidth="1"/>
    <col min="14609" max="14847" width="10.6640625" style="51"/>
    <col min="14848" max="14848" width="13.1640625" style="51" customWidth="1"/>
    <col min="14849" max="14849" width="79" style="51" customWidth="1"/>
    <col min="14850" max="14850" width="3.83203125" style="51" customWidth="1"/>
    <col min="14851" max="14863" width="12.5" style="51" customWidth="1"/>
    <col min="14864" max="14864" width="8.5" style="51" customWidth="1"/>
    <col min="14865" max="15103" width="10.6640625" style="51"/>
    <col min="15104" max="15104" width="13.1640625" style="51" customWidth="1"/>
    <col min="15105" max="15105" width="79" style="51" customWidth="1"/>
    <col min="15106" max="15106" width="3.83203125" style="51" customWidth="1"/>
    <col min="15107" max="15119" width="12.5" style="51" customWidth="1"/>
    <col min="15120" max="15120" width="8.5" style="51" customWidth="1"/>
    <col min="15121" max="15359" width="10.6640625" style="51"/>
    <col min="15360" max="15360" width="13.1640625" style="51" customWidth="1"/>
    <col min="15361" max="15361" width="79" style="51" customWidth="1"/>
    <col min="15362" max="15362" width="3.83203125" style="51" customWidth="1"/>
    <col min="15363" max="15375" width="12.5" style="51" customWidth="1"/>
    <col min="15376" max="15376" width="8.5" style="51" customWidth="1"/>
    <col min="15377" max="15615" width="10.6640625" style="51"/>
    <col min="15616" max="15616" width="13.1640625" style="51" customWidth="1"/>
    <col min="15617" max="15617" width="79" style="51" customWidth="1"/>
    <col min="15618" max="15618" width="3.83203125" style="51" customWidth="1"/>
    <col min="15619" max="15631" width="12.5" style="51" customWidth="1"/>
    <col min="15632" max="15632" width="8.5" style="51" customWidth="1"/>
    <col min="15633" max="15871" width="10.6640625" style="51"/>
    <col min="15872" max="15872" width="13.1640625" style="51" customWidth="1"/>
    <col min="15873" max="15873" width="79" style="51" customWidth="1"/>
    <col min="15874" max="15874" width="3.83203125" style="51" customWidth="1"/>
    <col min="15875" max="15887" width="12.5" style="51" customWidth="1"/>
    <col min="15888" max="15888" width="8.5" style="51" customWidth="1"/>
    <col min="15889" max="16127" width="10.6640625" style="51"/>
    <col min="16128" max="16128" width="13.1640625" style="51" customWidth="1"/>
    <col min="16129" max="16129" width="79" style="51" customWidth="1"/>
    <col min="16130" max="16130" width="3.83203125" style="51" customWidth="1"/>
    <col min="16131" max="16143" width="12.5" style="51" customWidth="1"/>
    <col min="16144" max="16144" width="8.5" style="51" customWidth="1"/>
    <col min="16145" max="16384" width="10.6640625" style="51"/>
  </cols>
  <sheetData>
    <row r="1" spans="1:19" ht="13.5" thickBot="1" x14ac:dyDescent="0.25">
      <c r="A1" s="278" t="s">
        <v>35</v>
      </c>
      <c r="B1" s="279">
        <v>3</v>
      </c>
      <c r="C1" s="280"/>
      <c r="D1" s="281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</row>
    <row r="2" spans="1:19" ht="13.5" thickTop="1" x14ac:dyDescent="0.2">
      <c r="A2" s="283" t="str">
        <f>CONCATENATE($B$1,"|",B2)</f>
        <v>3|1</v>
      </c>
      <c r="B2" s="284">
        <v>1</v>
      </c>
      <c r="C2" s="285" t="s">
        <v>152</v>
      </c>
      <c r="D2" s="286">
        <v>1</v>
      </c>
      <c r="E2" s="287">
        <v>50</v>
      </c>
      <c r="F2" s="287">
        <v>50</v>
      </c>
      <c r="G2" s="287"/>
      <c r="H2" s="287"/>
      <c r="I2" s="287"/>
      <c r="J2" s="288"/>
      <c r="K2" s="288"/>
      <c r="L2" s="288"/>
      <c r="M2" s="288"/>
      <c r="N2" s="288"/>
      <c r="O2" s="288"/>
      <c r="P2" s="288"/>
      <c r="S2" s="51">
        <f>SUM(E2:P2)</f>
        <v>100</v>
      </c>
    </row>
    <row r="3" spans="1:19" x14ac:dyDescent="0.2">
      <c r="A3" s="289" t="str">
        <f t="shared" ref="A3:A12" si="0">CONCATENATE($B$1,"|",B3)</f>
        <v>3|2</v>
      </c>
      <c r="B3" s="290" t="s">
        <v>89</v>
      </c>
      <c r="C3" s="285" t="s">
        <v>148</v>
      </c>
      <c r="D3" s="286">
        <v>2</v>
      </c>
      <c r="E3" s="287">
        <v>50</v>
      </c>
      <c r="F3" s="287">
        <v>50</v>
      </c>
      <c r="G3" s="287"/>
      <c r="H3" s="287"/>
      <c r="I3" s="287"/>
      <c r="J3" s="291"/>
      <c r="K3" s="291"/>
      <c r="L3" s="291"/>
      <c r="M3" s="291"/>
      <c r="N3" s="291"/>
      <c r="O3" s="291"/>
      <c r="P3" s="291"/>
      <c r="S3" s="51">
        <f t="shared" ref="S3:S12" si="1">SUM(E3:P3)</f>
        <v>100</v>
      </c>
    </row>
    <row r="4" spans="1:19" x14ac:dyDescent="0.2">
      <c r="A4" s="289" t="str">
        <f t="shared" si="0"/>
        <v>3|3</v>
      </c>
      <c r="B4" s="290" t="s">
        <v>93</v>
      </c>
      <c r="C4" s="285" t="s">
        <v>153</v>
      </c>
      <c r="D4" s="286">
        <v>3</v>
      </c>
      <c r="E4" s="292">
        <v>25</v>
      </c>
      <c r="F4" s="292">
        <v>60</v>
      </c>
      <c r="G4" s="292">
        <v>15</v>
      </c>
      <c r="H4" s="292"/>
      <c r="I4" s="292"/>
      <c r="J4" s="291"/>
      <c r="K4" s="291"/>
      <c r="L4" s="291"/>
      <c r="M4" s="291"/>
      <c r="N4" s="291"/>
      <c r="O4" s="291"/>
      <c r="P4" s="291"/>
      <c r="S4" s="51">
        <f t="shared" si="1"/>
        <v>100</v>
      </c>
    </row>
    <row r="5" spans="1:19" x14ac:dyDescent="0.2">
      <c r="A5" s="289" t="str">
        <f t="shared" si="0"/>
        <v>3|4</v>
      </c>
      <c r="B5" s="290" t="s">
        <v>96</v>
      </c>
      <c r="C5" s="285" t="s">
        <v>149</v>
      </c>
      <c r="D5" s="286">
        <v>4</v>
      </c>
      <c r="E5" s="292"/>
      <c r="F5" s="292">
        <v>50</v>
      </c>
      <c r="G5" s="292">
        <v>50</v>
      </c>
      <c r="H5" s="292"/>
      <c r="I5" s="292"/>
      <c r="J5" s="291"/>
      <c r="K5" s="291"/>
      <c r="L5" s="291"/>
      <c r="M5" s="291"/>
      <c r="N5" s="291"/>
      <c r="O5" s="291"/>
      <c r="P5" s="291"/>
      <c r="S5" s="51">
        <f t="shared" si="1"/>
        <v>100</v>
      </c>
    </row>
    <row r="6" spans="1:19" x14ac:dyDescent="0.2">
      <c r="A6" s="289" t="str">
        <f t="shared" si="0"/>
        <v>3|5</v>
      </c>
      <c r="B6" s="290" t="s">
        <v>88</v>
      </c>
      <c r="C6" s="285" t="s">
        <v>150</v>
      </c>
      <c r="D6" s="286">
        <v>5</v>
      </c>
      <c r="E6" s="292">
        <v>20</v>
      </c>
      <c r="F6" s="292">
        <v>50</v>
      </c>
      <c r="G6" s="292">
        <v>30</v>
      </c>
      <c r="H6" s="292"/>
      <c r="I6" s="292"/>
      <c r="J6" s="291"/>
      <c r="K6" s="291"/>
      <c r="L6" s="291"/>
      <c r="M6" s="291"/>
      <c r="N6" s="291"/>
      <c r="O6" s="291"/>
      <c r="P6" s="291"/>
      <c r="S6" s="51">
        <f t="shared" si="1"/>
        <v>100</v>
      </c>
    </row>
    <row r="7" spans="1:19" x14ac:dyDescent="0.2">
      <c r="A7" s="289" t="str">
        <f t="shared" si="0"/>
        <v>3|6</v>
      </c>
      <c r="B7" s="290" t="s">
        <v>97</v>
      </c>
      <c r="C7" s="285" t="s">
        <v>429</v>
      </c>
      <c r="D7" s="286">
        <v>3</v>
      </c>
      <c r="E7" s="292"/>
      <c r="F7" s="292">
        <v>50</v>
      </c>
      <c r="G7" s="292">
        <v>50</v>
      </c>
      <c r="H7" s="292"/>
      <c r="I7" s="292"/>
      <c r="J7" s="291"/>
      <c r="K7" s="291"/>
      <c r="L7" s="291"/>
      <c r="M7" s="291"/>
      <c r="N7" s="291"/>
      <c r="O7" s="291"/>
      <c r="P7" s="291"/>
      <c r="S7" s="51">
        <f t="shared" si="1"/>
        <v>100</v>
      </c>
    </row>
    <row r="8" spans="1:19" x14ac:dyDescent="0.2">
      <c r="A8" s="289" t="str">
        <f t="shared" si="0"/>
        <v>3|7</v>
      </c>
      <c r="B8" s="290" t="s">
        <v>147</v>
      </c>
      <c r="C8" s="285" t="s">
        <v>154</v>
      </c>
      <c r="D8" s="286">
        <v>5</v>
      </c>
      <c r="E8" s="292"/>
      <c r="F8" s="292">
        <v>20</v>
      </c>
      <c r="G8" s="292">
        <v>80</v>
      </c>
      <c r="H8" s="292"/>
      <c r="I8" s="292"/>
      <c r="J8" s="291"/>
      <c r="K8" s="291"/>
      <c r="L8" s="291"/>
      <c r="M8" s="291"/>
      <c r="N8" s="291"/>
      <c r="O8" s="291"/>
      <c r="P8" s="291"/>
      <c r="S8" s="51">
        <f t="shared" si="1"/>
        <v>100</v>
      </c>
    </row>
    <row r="9" spans="1:19" x14ac:dyDescent="0.2">
      <c r="A9" s="289" t="str">
        <f t="shared" si="0"/>
        <v>3|8</v>
      </c>
      <c r="B9" s="290" t="s">
        <v>108</v>
      </c>
      <c r="C9" s="285" t="s">
        <v>155</v>
      </c>
      <c r="D9" s="286">
        <v>6</v>
      </c>
      <c r="E9" s="292"/>
      <c r="F9" s="292">
        <v>50</v>
      </c>
      <c r="G9" s="292">
        <v>50</v>
      </c>
      <c r="H9" s="292"/>
      <c r="I9" s="292"/>
      <c r="J9" s="291"/>
      <c r="K9" s="291"/>
      <c r="L9" s="291"/>
      <c r="M9" s="291"/>
      <c r="N9" s="291"/>
      <c r="O9" s="291"/>
      <c r="P9" s="291"/>
      <c r="S9" s="51">
        <f t="shared" si="1"/>
        <v>100</v>
      </c>
    </row>
    <row r="10" spans="1:19" x14ac:dyDescent="0.2">
      <c r="A10" s="289" t="str">
        <f t="shared" si="0"/>
        <v>3|9</v>
      </c>
      <c r="B10" s="290" t="s">
        <v>156</v>
      </c>
      <c r="C10" s="285" t="s">
        <v>157</v>
      </c>
      <c r="D10" s="286">
        <v>6</v>
      </c>
      <c r="E10" s="292">
        <v>30</v>
      </c>
      <c r="F10" s="292">
        <v>40</v>
      </c>
      <c r="G10" s="292">
        <v>30</v>
      </c>
      <c r="H10" s="292"/>
      <c r="I10" s="292"/>
      <c r="J10" s="291"/>
      <c r="K10" s="291"/>
      <c r="L10" s="291"/>
      <c r="M10" s="291"/>
      <c r="N10" s="291"/>
      <c r="O10" s="291"/>
      <c r="P10" s="291"/>
      <c r="S10" s="51">
        <f t="shared" si="1"/>
        <v>100</v>
      </c>
    </row>
    <row r="11" spans="1:19" x14ac:dyDescent="0.2">
      <c r="A11" s="289" t="str">
        <f t="shared" si="0"/>
        <v>3|10</v>
      </c>
      <c r="B11" s="290" t="s">
        <v>158</v>
      </c>
      <c r="C11" s="285" t="s">
        <v>151</v>
      </c>
      <c r="D11" s="286"/>
      <c r="E11" s="292">
        <v>60</v>
      </c>
      <c r="F11" s="292">
        <v>40</v>
      </c>
      <c r="G11" s="292"/>
      <c r="H11" s="292"/>
      <c r="I11" s="292"/>
      <c r="J11" s="291"/>
      <c r="K11" s="291"/>
      <c r="L11" s="291"/>
      <c r="M11" s="291"/>
      <c r="N11" s="291"/>
      <c r="O11" s="291"/>
      <c r="P11" s="291"/>
      <c r="S11" s="51">
        <f t="shared" si="1"/>
        <v>100</v>
      </c>
    </row>
    <row r="12" spans="1:19" x14ac:dyDescent="0.2">
      <c r="A12" s="289" t="str">
        <f t="shared" si="0"/>
        <v>3|11</v>
      </c>
      <c r="B12" s="290" t="s">
        <v>164</v>
      </c>
      <c r="C12" s="285" t="s">
        <v>176</v>
      </c>
      <c r="D12" s="286"/>
      <c r="E12" s="292">
        <v>15</v>
      </c>
      <c r="F12" s="292">
        <v>60</v>
      </c>
      <c r="G12" s="292">
        <v>25</v>
      </c>
      <c r="H12" s="292"/>
      <c r="I12" s="292"/>
      <c r="J12" s="291"/>
      <c r="K12" s="291"/>
      <c r="L12" s="291"/>
      <c r="M12" s="291"/>
      <c r="N12" s="291"/>
      <c r="O12" s="291"/>
      <c r="P12" s="291"/>
      <c r="S12" s="51">
        <f t="shared" si="1"/>
        <v>100</v>
      </c>
    </row>
    <row r="13" spans="1:19" ht="5.45" customHeight="1" x14ac:dyDescent="0.2"/>
    <row r="14" spans="1:19" ht="13.5" thickBot="1" x14ac:dyDescent="0.25">
      <c r="A14" s="293" t="s">
        <v>35</v>
      </c>
      <c r="B14" s="294">
        <v>4</v>
      </c>
      <c r="C14" s="295"/>
      <c r="D14" s="296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</row>
    <row r="15" spans="1:19" ht="13.5" thickTop="1" x14ac:dyDescent="0.2">
      <c r="A15" s="297" t="str">
        <f>CONCATENATE($B$14,"|",B15)</f>
        <v>4|1</v>
      </c>
      <c r="B15" s="284">
        <v>1</v>
      </c>
      <c r="C15" s="285" t="s">
        <v>152</v>
      </c>
      <c r="D15" s="286">
        <v>1</v>
      </c>
      <c r="E15" s="287">
        <v>45</v>
      </c>
      <c r="F15" s="287">
        <v>45</v>
      </c>
      <c r="G15" s="287">
        <v>10</v>
      </c>
      <c r="H15" s="287"/>
      <c r="I15" s="287"/>
      <c r="J15" s="288"/>
      <c r="K15" s="288"/>
      <c r="L15" s="288"/>
      <c r="M15" s="288"/>
      <c r="N15" s="288"/>
      <c r="O15" s="288"/>
      <c r="P15" s="288"/>
      <c r="S15" s="51">
        <f>SUM(E15:P15)</f>
        <v>100</v>
      </c>
    </row>
    <row r="16" spans="1:19" x14ac:dyDescent="0.2">
      <c r="A16" s="289" t="str">
        <f t="shared" ref="A16:A25" si="2">CONCATENATE($B$14,"|",B16)</f>
        <v>4|2</v>
      </c>
      <c r="B16" s="290" t="s">
        <v>89</v>
      </c>
      <c r="C16" s="285" t="s">
        <v>148</v>
      </c>
      <c r="D16" s="286">
        <v>2</v>
      </c>
      <c r="E16" s="287">
        <v>40</v>
      </c>
      <c r="F16" s="287">
        <v>40</v>
      </c>
      <c r="G16" s="287">
        <v>20</v>
      </c>
      <c r="H16" s="287"/>
      <c r="I16" s="287"/>
      <c r="J16" s="291"/>
      <c r="K16" s="291"/>
      <c r="L16" s="291"/>
      <c r="M16" s="291"/>
      <c r="N16" s="291"/>
      <c r="O16" s="291"/>
      <c r="P16" s="291"/>
      <c r="S16" s="51">
        <f t="shared" ref="S16:S25" si="3">SUM(E16:P16)</f>
        <v>100</v>
      </c>
    </row>
    <row r="17" spans="1:19" x14ac:dyDescent="0.2">
      <c r="A17" s="289" t="str">
        <f t="shared" si="2"/>
        <v>4|3</v>
      </c>
      <c r="B17" s="290" t="s">
        <v>93</v>
      </c>
      <c r="C17" s="285" t="s">
        <v>153</v>
      </c>
      <c r="D17" s="286">
        <v>3</v>
      </c>
      <c r="E17" s="292">
        <v>20</v>
      </c>
      <c r="F17" s="292">
        <v>35</v>
      </c>
      <c r="G17" s="292">
        <v>35</v>
      </c>
      <c r="H17" s="292">
        <v>10</v>
      </c>
      <c r="I17" s="292"/>
      <c r="J17" s="291"/>
      <c r="K17" s="291"/>
      <c r="L17" s="291"/>
      <c r="M17" s="291"/>
      <c r="N17" s="291"/>
      <c r="O17" s="291"/>
      <c r="P17" s="291"/>
      <c r="S17" s="51">
        <f t="shared" si="3"/>
        <v>100</v>
      </c>
    </row>
    <row r="18" spans="1:19" x14ac:dyDescent="0.2">
      <c r="A18" s="289" t="str">
        <f t="shared" si="2"/>
        <v>4|4</v>
      </c>
      <c r="B18" s="290" t="s">
        <v>96</v>
      </c>
      <c r="C18" s="285" t="s">
        <v>149</v>
      </c>
      <c r="D18" s="286">
        <v>4</v>
      </c>
      <c r="E18" s="292"/>
      <c r="F18" s="292">
        <v>35</v>
      </c>
      <c r="G18" s="292">
        <v>35</v>
      </c>
      <c r="H18" s="292">
        <v>30</v>
      </c>
      <c r="I18" s="292"/>
      <c r="J18" s="291"/>
      <c r="K18" s="291"/>
      <c r="L18" s="291"/>
      <c r="M18" s="291"/>
      <c r="N18" s="291"/>
      <c r="O18" s="291"/>
      <c r="P18" s="291"/>
      <c r="S18" s="51">
        <f t="shared" si="3"/>
        <v>100</v>
      </c>
    </row>
    <row r="19" spans="1:19" x14ac:dyDescent="0.2">
      <c r="A19" s="289" t="str">
        <f t="shared" si="2"/>
        <v>4|5</v>
      </c>
      <c r="B19" s="290" t="s">
        <v>88</v>
      </c>
      <c r="C19" s="285" t="s">
        <v>150</v>
      </c>
      <c r="D19" s="286">
        <v>5</v>
      </c>
      <c r="E19" s="292">
        <v>10</v>
      </c>
      <c r="F19" s="292">
        <v>35</v>
      </c>
      <c r="G19" s="292">
        <v>35</v>
      </c>
      <c r="H19" s="292">
        <v>20</v>
      </c>
      <c r="I19" s="292"/>
      <c r="J19" s="291"/>
      <c r="K19" s="291"/>
      <c r="L19" s="291"/>
      <c r="M19" s="291"/>
      <c r="N19" s="291"/>
      <c r="O19" s="291"/>
      <c r="P19" s="291"/>
      <c r="S19" s="51">
        <f t="shared" si="3"/>
        <v>100</v>
      </c>
    </row>
    <row r="20" spans="1:19" x14ac:dyDescent="0.2">
      <c r="A20" s="289" t="str">
        <f t="shared" si="2"/>
        <v>4|6</v>
      </c>
      <c r="B20" s="290" t="s">
        <v>97</v>
      </c>
      <c r="C20" s="285" t="s">
        <v>429</v>
      </c>
      <c r="D20" s="286">
        <v>3</v>
      </c>
      <c r="E20" s="292"/>
      <c r="F20" s="292">
        <v>35</v>
      </c>
      <c r="G20" s="292">
        <v>35</v>
      </c>
      <c r="H20" s="292">
        <v>30</v>
      </c>
      <c r="I20" s="292"/>
      <c r="J20" s="291"/>
      <c r="K20" s="291"/>
      <c r="L20" s="291"/>
      <c r="M20" s="291"/>
      <c r="N20" s="291"/>
      <c r="O20" s="291"/>
      <c r="P20" s="291"/>
      <c r="S20" s="51">
        <f t="shared" si="3"/>
        <v>100</v>
      </c>
    </row>
    <row r="21" spans="1:19" x14ac:dyDescent="0.2">
      <c r="A21" s="289" t="str">
        <f t="shared" si="2"/>
        <v>4|7</v>
      </c>
      <c r="B21" s="290" t="s">
        <v>147</v>
      </c>
      <c r="C21" s="285" t="s">
        <v>154</v>
      </c>
      <c r="D21" s="286">
        <v>5</v>
      </c>
      <c r="E21" s="292"/>
      <c r="F21" s="292">
        <v>15</v>
      </c>
      <c r="G21" s="292">
        <v>60</v>
      </c>
      <c r="H21" s="292">
        <v>25</v>
      </c>
      <c r="I21" s="292"/>
      <c r="J21" s="291"/>
      <c r="K21" s="291"/>
      <c r="L21" s="291"/>
      <c r="M21" s="291"/>
      <c r="N21" s="291"/>
      <c r="O21" s="291"/>
      <c r="P21" s="291"/>
      <c r="S21" s="51">
        <f t="shared" si="3"/>
        <v>100</v>
      </c>
    </row>
    <row r="22" spans="1:19" x14ac:dyDescent="0.2">
      <c r="A22" s="289" t="str">
        <f t="shared" si="2"/>
        <v>4|8</v>
      </c>
      <c r="B22" s="290" t="s">
        <v>108</v>
      </c>
      <c r="C22" s="285" t="s">
        <v>155</v>
      </c>
      <c r="D22" s="286">
        <v>6</v>
      </c>
      <c r="E22" s="292"/>
      <c r="F22" s="292">
        <v>30</v>
      </c>
      <c r="G22" s="292">
        <v>40</v>
      </c>
      <c r="H22" s="292">
        <v>30</v>
      </c>
      <c r="I22" s="292"/>
      <c r="J22" s="291"/>
      <c r="K22" s="291"/>
      <c r="L22" s="291"/>
      <c r="M22" s="291"/>
      <c r="N22" s="291"/>
      <c r="O22" s="291"/>
      <c r="P22" s="291"/>
      <c r="S22" s="51">
        <f t="shared" si="3"/>
        <v>100</v>
      </c>
    </row>
    <row r="23" spans="1:19" x14ac:dyDescent="0.2">
      <c r="A23" s="289" t="str">
        <f t="shared" si="2"/>
        <v>4|9</v>
      </c>
      <c r="B23" s="290" t="s">
        <v>156</v>
      </c>
      <c r="C23" s="285" t="s">
        <v>157</v>
      </c>
      <c r="D23" s="286">
        <v>6</v>
      </c>
      <c r="E23" s="292">
        <v>10</v>
      </c>
      <c r="F23" s="292">
        <v>35</v>
      </c>
      <c r="G23" s="292">
        <v>35</v>
      </c>
      <c r="H23" s="292">
        <v>20</v>
      </c>
      <c r="I23" s="292"/>
      <c r="J23" s="291"/>
      <c r="K23" s="291"/>
      <c r="L23" s="291"/>
      <c r="M23" s="291"/>
      <c r="N23" s="291"/>
      <c r="O23" s="291"/>
      <c r="P23" s="291"/>
      <c r="S23" s="51">
        <f t="shared" si="3"/>
        <v>100</v>
      </c>
    </row>
    <row r="24" spans="1:19" x14ac:dyDescent="0.2">
      <c r="A24" s="289" t="str">
        <f t="shared" si="2"/>
        <v>4|10</v>
      </c>
      <c r="B24" s="290" t="s">
        <v>158</v>
      </c>
      <c r="C24" s="285" t="s">
        <v>151</v>
      </c>
      <c r="D24" s="286"/>
      <c r="E24" s="292">
        <v>40</v>
      </c>
      <c r="F24" s="292">
        <v>40</v>
      </c>
      <c r="G24" s="292">
        <v>20</v>
      </c>
      <c r="H24" s="292"/>
      <c r="I24" s="292"/>
      <c r="J24" s="291"/>
      <c r="K24" s="291"/>
      <c r="L24" s="291"/>
      <c r="M24" s="291"/>
      <c r="N24" s="291"/>
      <c r="O24" s="291"/>
      <c r="P24" s="291"/>
      <c r="S24" s="51">
        <f t="shared" si="3"/>
        <v>100</v>
      </c>
    </row>
    <row r="25" spans="1:19" x14ac:dyDescent="0.2">
      <c r="A25" s="298" t="str">
        <f t="shared" si="2"/>
        <v>4|11</v>
      </c>
      <c r="B25" s="290" t="s">
        <v>164</v>
      </c>
      <c r="C25" s="285" t="s">
        <v>176</v>
      </c>
      <c r="D25" s="286"/>
      <c r="E25" s="292">
        <v>10</v>
      </c>
      <c r="F25" s="292">
        <v>35</v>
      </c>
      <c r="G25" s="292">
        <v>35</v>
      </c>
      <c r="H25" s="292">
        <v>20</v>
      </c>
      <c r="I25" s="292"/>
      <c r="J25" s="291"/>
      <c r="K25" s="291"/>
      <c r="L25" s="291"/>
      <c r="M25" s="291"/>
      <c r="N25" s="291"/>
      <c r="O25" s="291"/>
      <c r="P25" s="291"/>
      <c r="S25" s="51">
        <f t="shared" si="3"/>
        <v>100</v>
      </c>
    </row>
    <row r="26" spans="1:19" ht="5.45" customHeight="1" x14ac:dyDescent="0.2"/>
    <row r="27" spans="1:19" ht="13.5" thickBot="1" x14ac:dyDescent="0.25">
      <c r="A27" s="293" t="s">
        <v>35</v>
      </c>
      <c r="B27" s="294">
        <v>5</v>
      </c>
      <c r="C27" s="295"/>
      <c r="D27" s="296"/>
      <c r="E27" s="282"/>
      <c r="F27" s="282"/>
      <c r="G27" s="282"/>
      <c r="H27" s="282"/>
      <c r="I27" s="282"/>
      <c r="J27" s="282"/>
      <c r="K27" s="282"/>
      <c r="L27" s="282"/>
      <c r="M27" s="282"/>
      <c r="N27" s="282"/>
      <c r="O27" s="282"/>
      <c r="P27" s="282"/>
    </row>
    <row r="28" spans="1:19" ht="13.5" thickTop="1" x14ac:dyDescent="0.2">
      <c r="A28" s="297" t="str">
        <f>CONCATENATE($B$27,"|",B28)</f>
        <v>5|1</v>
      </c>
      <c r="B28" s="284">
        <v>1</v>
      </c>
      <c r="C28" s="285" t="s">
        <v>152</v>
      </c>
      <c r="D28" s="286">
        <v>1</v>
      </c>
      <c r="E28" s="287">
        <v>40</v>
      </c>
      <c r="F28" s="287">
        <v>30</v>
      </c>
      <c r="G28" s="287">
        <v>25</v>
      </c>
      <c r="H28" s="287">
        <v>5</v>
      </c>
      <c r="I28" s="287"/>
      <c r="J28" s="288"/>
      <c r="K28" s="288"/>
      <c r="L28" s="288"/>
      <c r="M28" s="288"/>
      <c r="N28" s="288"/>
      <c r="O28" s="288"/>
      <c r="P28" s="288"/>
      <c r="S28" s="51">
        <f>SUM(E28:P28)</f>
        <v>100</v>
      </c>
    </row>
    <row r="29" spans="1:19" x14ac:dyDescent="0.2">
      <c r="A29" s="289" t="str">
        <f t="shared" ref="A29:A38" si="4">CONCATENATE($B$27,"|",B29)</f>
        <v>5|2</v>
      </c>
      <c r="B29" s="290" t="s">
        <v>89</v>
      </c>
      <c r="C29" s="285" t="s">
        <v>148</v>
      </c>
      <c r="D29" s="286">
        <v>2</v>
      </c>
      <c r="E29" s="287">
        <v>30</v>
      </c>
      <c r="F29" s="287">
        <v>30</v>
      </c>
      <c r="G29" s="287">
        <v>30</v>
      </c>
      <c r="H29" s="287">
        <v>10</v>
      </c>
      <c r="I29" s="287"/>
      <c r="J29" s="291"/>
      <c r="K29" s="291"/>
      <c r="L29" s="291"/>
      <c r="M29" s="291"/>
      <c r="N29" s="291"/>
      <c r="O29" s="291"/>
      <c r="P29" s="291"/>
      <c r="S29" s="51">
        <f t="shared" ref="S29:S38" si="5">SUM(E29:P29)</f>
        <v>100</v>
      </c>
    </row>
    <row r="30" spans="1:19" x14ac:dyDescent="0.2">
      <c r="A30" s="289" t="str">
        <f t="shared" si="4"/>
        <v>5|3</v>
      </c>
      <c r="B30" s="290" t="s">
        <v>93</v>
      </c>
      <c r="C30" s="285" t="s">
        <v>153</v>
      </c>
      <c r="D30" s="286">
        <v>3</v>
      </c>
      <c r="E30" s="292">
        <v>10</v>
      </c>
      <c r="F30" s="292">
        <v>30</v>
      </c>
      <c r="G30" s="292">
        <v>30</v>
      </c>
      <c r="H30" s="292">
        <v>25</v>
      </c>
      <c r="I30" s="292">
        <v>5</v>
      </c>
      <c r="J30" s="291"/>
      <c r="K30" s="291"/>
      <c r="L30" s="291"/>
      <c r="M30" s="291"/>
      <c r="N30" s="291"/>
      <c r="O30" s="291"/>
      <c r="P30" s="291"/>
      <c r="S30" s="51">
        <f t="shared" si="5"/>
        <v>100</v>
      </c>
    </row>
    <row r="31" spans="1:19" x14ac:dyDescent="0.2">
      <c r="A31" s="289" t="str">
        <f t="shared" si="4"/>
        <v>5|4</v>
      </c>
      <c r="B31" s="290" t="s">
        <v>96</v>
      </c>
      <c r="C31" s="285" t="s">
        <v>149</v>
      </c>
      <c r="D31" s="286">
        <v>4</v>
      </c>
      <c r="E31" s="292"/>
      <c r="F31" s="292">
        <v>15</v>
      </c>
      <c r="G31" s="292">
        <v>30</v>
      </c>
      <c r="H31" s="292">
        <v>30</v>
      </c>
      <c r="I31" s="292">
        <v>25</v>
      </c>
      <c r="J31" s="291"/>
      <c r="K31" s="291"/>
      <c r="L31" s="291"/>
      <c r="M31" s="291"/>
      <c r="N31" s="291"/>
      <c r="O31" s="291"/>
      <c r="P31" s="291"/>
      <c r="S31" s="51">
        <f t="shared" si="5"/>
        <v>100</v>
      </c>
    </row>
    <row r="32" spans="1:19" x14ac:dyDescent="0.2">
      <c r="A32" s="289" t="str">
        <f t="shared" si="4"/>
        <v>5|5</v>
      </c>
      <c r="B32" s="290" t="s">
        <v>88</v>
      </c>
      <c r="C32" s="285" t="s">
        <v>150</v>
      </c>
      <c r="D32" s="286">
        <v>5</v>
      </c>
      <c r="E32" s="292"/>
      <c r="F32" s="292">
        <v>25</v>
      </c>
      <c r="G32" s="292">
        <v>35</v>
      </c>
      <c r="H32" s="292">
        <v>35</v>
      </c>
      <c r="I32" s="292">
        <v>5</v>
      </c>
      <c r="J32" s="291"/>
      <c r="K32" s="291"/>
      <c r="L32" s="291"/>
      <c r="M32" s="291"/>
      <c r="N32" s="291"/>
      <c r="O32" s="291"/>
      <c r="P32" s="291"/>
      <c r="S32" s="51">
        <f t="shared" si="5"/>
        <v>100</v>
      </c>
    </row>
    <row r="33" spans="1:19" x14ac:dyDescent="0.2">
      <c r="A33" s="289" t="str">
        <f t="shared" si="4"/>
        <v>5|6</v>
      </c>
      <c r="B33" s="290" t="s">
        <v>97</v>
      </c>
      <c r="C33" s="285" t="s">
        <v>429</v>
      </c>
      <c r="D33" s="286">
        <v>3</v>
      </c>
      <c r="E33" s="292"/>
      <c r="F33" s="292">
        <v>5</v>
      </c>
      <c r="G33" s="292">
        <v>40</v>
      </c>
      <c r="H33" s="292">
        <v>30</v>
      </c>
      <c r="I33" s="292">
        <v>25</v>
      </c>
      <c r="J33" s="291"/>
      <c r="K33" s="291"/>
      <c r="L33" s="291"/>
      <c r="M33" s="291"/>
      <c r="N33" s="291"/>
      <c r="O33" s="291"/>
      <c r="P33" s="291"/>
      <c r="S33" s="51">
        <f t="shared" si="5"/>
        <v>100</v>
      </c>
    </row>
    <row r="34" spans="1:19" x14ac:dyDescent="0.2">
      <c r="A34" s="289" t="str">
        <f t="shared" si="4"/>
        <v>5|7</v>
      </c>
      <c r="B34" s="290" t="s">
        <v>147</v>
      </c>
      <c r="C34" s="285" t="s">
        <v>154</v>
      </c>
      <c r="D34" s="286">
        <v>5</v>
      </c>
      <c r="E34" s="292"/>
      <c r="F34" s="292">
        <v>10</v>
      </c>
      <c r="G34" s="292">
        <v>35</v>
      </c>
      <c r="H34" s="292">
        <v>35</v>
      </c>
      <c r="I34" s="292">
        <v>20</v>
      </c>
      <c r="J34" s="291"/>
      <c r="K34" s="291"/>
      <c r="L34" s="291"/>
      <c r="M34" s="291"/>
      <c r="N34" s="291"/>
      <c r="O34" s="291"/>
      <c r="P34" s="291"/>
      <c r="S34" s="51">
        <f t="shared" si="5"/>
        <v>100</v>
      </c>
    </row>
    <row r="35" spans="1:19" x14ac:dyDescent="0.2">
      <c r="A35" s="289" t="str">
        <f t="shared" si="4"/>
        <v>5|8</v>
      </c>
      <c r="B35" s="290" t="s">
        <v>108</v>
      </c>
      <c r="C35" s="285" t="s">
        <v>155</v>
      </c>
      <c r="D35" s="286">
        <v>6</v>
      </c>
      <c r="E35" s="292"/>
      <c r="F35" s="292">
        <v>10</v>
      </c>
      <c r="G35" s="292">
        <v>35</v>
      </c>
      <c r="H35" s="292">
        <v>35</v>
      </c>
      <c r="I35" s="292">
        <v>20</v>
      </c>
      <c r="J35" s="291"/>
      <c r="K35" s="291"/>
      <c r="L35" s="291"/>
      <c r="M35" s="291"/>
      <c r="N35" s="291"/>
      <c r="O35" s="291"/>
      <c r="P35" s="291"/>
      <c r="S35" s="51">
        <f t="shared" si="5"/>
        <v>100</v>
      </c>
    </row>
    <row r="36" spans="1:19" x14ac:dyDescent="0.2">
      <c r="A36" s="289" t="str">
        <f t="shared" si="4"/>
        <v>5|9</v>
      </c>
      <c r="B36" s="290" t="s">
        <v>156</v>
      </c>
      <c r="C36" s="285" t="s">
        <v>157</v>
      </c>
      <c r="D36" s="286">
        <v>6</v>
      </c>
      <c r="E36" s="292">
        <v>5</v>
      </c>
      <c r="F36" s="292">
        <v>25</v>
      </c>
      <c r="G36" s="292">
        <v>25</v>
      </c>
      <c r="H36" s="292">
        <v>25</v>
      </c>
      <c r="I36" s="292">
        <v>20</v>
      </c>
      <c r="J36" s="291"/>
      <c r="K36" s="291"/>
      <c r="L36" s="291"/>
      <c r="M36" s="291"/>
      <c r="N36" s="291"/>
      <c r="O36" s="291"/>
      <c r="P36" s="291"/>
      <c r="S36" s="51">
        <f t="shared" si="5"/>
        <v>100</v>
      </c>
    </row>
    <row r="37" spans="1:19" x14ac:dyDescent="0.2">
      <c r="A37" s="289" t="str">
        <f t="shared" si="4"/>
        <v>5|10</v>
      </c>
      <c r="B37" s="290" t="s">
        <v>158</v>
      </c>
      <c r="C37" s="285" t="s">
        <v>151</v>
      </c>
      <c r="D37" s="286"/>
      <c r="E37" s="292">
        <v>25</v>
      </c>
      <c r="F37" s="292">
        <v>30</v>
      </c>
      <c r="G37" s="292">
        <v>30</v>
      </c>
      <c r="H37" s="292">
        <v>15</v>
      </c>
      <c r="I37" s="292"/>
      <c r="J37" s="291"/>
      <c r="K37" s="291"/>
      <c r="L37" s="291"/>
      <c r="M37" s="291"/>
      <c r="N37" s="291"/>
      <c r="O37" s="291"/>
      <c r="P37" s="291"/>
      <c r="S37" s="51">
        <f t="shared" si="5"/>
        <v>100</v>
      </c>
    </row>
    <row r="38" spans="1:19" x14ac:dyDescent="0.2">
      <c r="A38" s="289" t="str">
        <f t="shared" si="4"/>
        <v>5|11</v>
      </c>
      <c r="B38" s="290" t="s">
        <v>164</v>
      </c>
      <c r="C38" s="285" t="s">
        <v>176</v>
      </c>
      <c r="D38" s="286"/>
      <c r="E38" s="292">
        <v>7</v>
      </c>
      <c r="F38" s="292">
        <v>21</v>
      </c>
      <c r="G38" s="292">
        <v>27</v>
      </c>
      <c r="H38" s="292">
        <v>28</v>
      </c>
      <c r="I38" s="292">
        <v>17</v>
      </c>
      <c r="J38" s="291"/>
      <c r="K38" s="291"/>
      <c r="L38" s="291"/>
      <c r="M38" s="291"/>
      <c r="N38" s="291"/>
      <c r="O38" s="291"/>
      <c r="P38" s="291"/>
      <c r="S38" s="51">
        <f t="shared" si="5"/>
        <v>100</v>
      </c>
    </row>
    <row r="39" spans="1:19" ht="5.45" customHeight="1" x14ac:dyDescent="0.2"/>
    <row r="40" spans="1:19" ht="13.5" thickBot="1" x14ac:dyDescent="0.25">
      <c r="A40" s="293" t="s">
        <v>35</v>
      </c>
      <c r="B40" s="294">
        <v>6</v>
      </c>
      <c r="C40" s="295"/>
      <c r="D40" s="296"/>
      <c r="E40" s="282"/>
      <c r="F40" s="282"/>
      <c r="G40" s="282"/>
      <c r="H40" s="282"/>
      <c r="I40" s="282"/>
      <c r="J40" s="282"/>
      <c r="K40" s="282"/>
      <c r="L40" s="282"/>
      <c r="M40" s="282"/>
      <c r="N40" s="282"/>
      <c r="O40" s="282"/>
      <c r="P40" s="282"/>
    </row>
    <row r="41" spans="1:19" ht="13.5" thickTop="1" x14ac:dyDescent="0.2">
      <c r="A41" s="297" t="str">
        <f>CONCATENATE($B$40,"|",B41)</f>
        <v>6|1</v>
      </c>
      <c r="B41" s="284">
        <v>1</v>
      </c>
      <c r="C41" s="285" t="s">
        <v>152</v>
      </c>
      <c r="D41" s="286">
        <v>1</v>
      </c>
      <c r="E41" s="287">
        <v>20</v>
      </c>
      <c r="F41" s="287">
        <v>30</v>
      </c>
      <c r="G41" s="287">
        <v>30</v>
      </c>
      <c r="H41" s="287">
        <v>20</v>
      </c>
      <c r="I41" s="287"/>
      <c r="J41" s="288"/>
      <c r="K41" s="288"/>
      <c r="L41" s="288"/>
      <c r="M41" s="288"/>
      <c r="N41" s="288"/>
      <c r="O41" s="288"/>
      <c r="P41" s="288"/>
      <c r="S41" s="51">
        <f>SUM(E41:P41)</f>
        <v>100</v>
      </c>
    </row>
    <row r="42" spans="1:19" x14ac:dyDescent="0.2">
      <c r="A42" s="289" t="str">
        <f>CONCATENATE($B$40,"|",B42)</f>
        <v>6|2</v>
      </c>
      <c r="B42" s="290" t="s">
        <v>89</v>
      </c>
      <c r="C42" s="285" t="s">
        <v>148</v>
      </c>
      <c r="D42" s="286">
        <v>2</v>
      </c>
      <c r="E42" s="287">
        <v>15</v>
      </c>
      <c r="F42" s="287">
        <v>25</v>
      </c>
      <c r="G42" s="287">
        <v>30</v>
      </c>
      <c r="H42" s="287">
        <v>25</v>
      </c>
      <c r="I42" s="287">
        <v>5</v>
      </c>
      <c r="J42" s="291"/>
      <c r="K42" s="291"/>
      <c r="L42" s="291"/>
      <c r="M42" s="291"/>
      <c r="N42" s="291"/>
      <c r="O42" s="291"/>
      <c r="P42" s="291"/>
      <c r="S42" s="51">
        <f t="shared" ref="S42:S51" si="6">SUM(E42:P42)</f>
        <v>100</v>
      </c>
    </row>
    <row r="43" spans="1:19" x14ac:dyDescent="0.2">
      <c r="A43" s="289" t="str">
        <f t="shared" ref="A43:A51" si="7">CONCATENATE($B$40,"|",B43)</f>
        <v>6|3</v>
      </c>
      <c r="B43" s="290" t="s">
        <v>93</v>
      </c>
      <c r="C43" s="285" t="s">
        <v>153</v>
      </c>
      <c r="D43" s="286">
        <v>3</v>
      </c>
      <c r="E43" s="292">
        <v>5</v>
      </c>
      <c r="F43" s="292">
        <v>20</v>
      </c>
      <c r="G43" s="292">
        <v>30</v>
      </c>
      <c r="H43" s="292">
        <v>25</v>
      </c>
      <c r="I43" s="292">
        <v>20</v>
      </c>
      <c r="J43" s="291"/>
      <c r="K43" s="291"/>
      <c r="L43" s="291"/>
      <c r="M43" s="291"/>
      <c r="N43" s="291"/>
      <c r="O43" s="291"/>
      <c r="P43" s="291"/>
      <c r="S43" s="51">
        <f t="shared" si="6"/>
        <v>100</v>
      </c>
    </row>
    <row r="44" spans="1:19" x14ac:dyDescent="0.2">
      <c r="A44" s="289" t="str">
        <f t="shared" si="7"/>
        <v>6|4</v>
      </c>
      <c r="B44" s="290" t="s">
        <v>96</v>
      </c>
      <c r="C44" s="285" t="s">
        <v>149</v>
      </c>
      <c r="D44" s="286">
        <v>4</v>
      </c>
      <c r="E44" s="292"/>
      <c r="F44" s="292">
        <v>5</v>
      </c>
      <c r="G44" s="292">
        <v>20</v>
      </c>
      <c r="H44" s="292">
        <v>30</v>
      </c>
      <c r="I44" s="292">
        <v>25</v>
      </c>
      <c r="J44" s="291">
        <v>20</v>
      </c>
      <c r="K44" s="291"/>
      <c r="L44" s="291"/>
      <c r="M44" s="291"/>
      <c r="N44" s="291"/>
      <c r="O44" s="291"/>
      <c r="P44" s="291"/>
      <c r="S44" s="51">
        <f t="shared" si="6"/>
        <v>100</v>
      </c>
    </row>
    <row r="45" spans="1:19" x14ac:dyDescent="0.2">
      <c r="A45" s="289" t="str">
        <f t="shared" si="7"/>
        <v>6|5</v>
      </c>
      <c r="B45" s="290" t="s">
        <v>88</v>
      </c>
      <c r="C45" s="285" t="s">
        <v>150</v>
      </c>
      <c r="D45" s="286">
        <v>5</v>
      </c>
      <c r="E45" s="292"/>
      <c r="F45" s="292">
        <v>15</v>
      </c>
      <c r="G45" s="292">
        <v>30</v>
      </c>
      <c r="H45" s="292">
        <v>30</v>
      </c>
      <c r="I45" s="292">
        <v>25</v>
      </c>
      <c r="J45" s="291"/>
      <c r="K45" s="291"/>
      <c r="L45" s="291"/>
      <c r="M45" s="291"/>
      <c r="N45" s="291"/>
      <c r="O45" s="291"/>
      <c r="P45" s="291"/>
      <c r="S45" s="51">
        <f t="shared" si="6"/>
        <v>100</v>
      </c>
    </row>
    <row r="46" spans="1:19" x14ac:dyDescent="0.2">
      <c r="A46" s="289" t="str">
        <f t="shared" si="7"/>
        <v>6|6</v>
      </c>
      <c r="B46" s="290" t="s">
        <v>97</v>
      </c>
      <c r="C46" s="285" t="s">
        <v>429</v>
      </c>
      <c r="D46" s="286">
        <v>3</v>
      </c>
      <c r="E46" s="292"/>
      <c r="F46" s="292">
        <v>5</v>
      </c>
      <c r="G46" s="292">
        <v>10</v>
      </c>
      <c r="H46" s="292">
        <v>30</v>
      </c>
      <c r="I46" s="292">
        <v>30</v>
      </c>
      <c r="J46" s="291">
        <v>25</v>
      </c>
      <c r="K46" s="291"/>
      <c r="L46" s="291"/>
      <c r="M46" s="291"/>
      <c r="N46" s="291"/>
      <c r="O46" s="291"/>
      <c r="P46" s="291"/>
      <c r="S46" s="51">
        <f t="shared" si="6"/>
        <v>100</v>
      </c>
    </row>
    <row r="47" spans="1:19" x14ac:dyDescent="0.2">
      <c r="A47" s="289" t="str">
        <f t="shared" si="7"/>
        <v>6|7</v>
      </c>
      <c r="B47" s="290" t="s">
        <v>147</v>
      </c>
      <c r="C47" s="285" t="s">
        <v>154</v>
      </c>
      <c r="D47" s="286">
        <v>5</v>
      </c>
      <c r="E47" s="292"/>
      <c r="F47" s="292"/>
      <c r="G47" s="292">
        <v>20</v>
      </c>
      <c r="H47" s="292">
        <v>20</v>
      </c>
      <c r="I47" s="292">
        <v>30</v>
      </c>
      <c r="J47" s="291">
        <v>30</v>
      </c>
      <c r="K47" s="291"/>
      <c r="L47" s="291"/>
      <c r="M47" s="291"/>
      <c r="N47" s="291"/>
      <c r="O47" s="291"/>
      <c r="P47" s="291"/>
      <c r="S47" s="51">
        <f t="shared" si="6"/>
        <v>100</v>
      </c>
    </row>
    <row r="48" spans="1:19" x14ac:dyDescent="0.2">
      <c r="A48" s="289" t="str">
        <f t="shared" si="7"/>
        <v>6|8</v>
      </c>
      <c r="B48" s="290" t="s">
        <v>108</v>
      </c>
      <c r="C48" s="285" t="s">
        <v>155</v>
      </c>
      <c r="D48" s="286">
        <v>6</v>
      </c>
      <c r="E48" s="292"/>
      <c r="F48" s="292"/>
      <c r="G48" s="292">
        <v>20</v>
      </c>
      <c r="H48" s="292">
        <v>30</v>
      </c>
      <c r="I48" s="292">
        <v>30</v>
      </c>
      <c r="J48" s="291">
        <v>20</v>
      </c>
      <c r="K48" s="291"/>
      <c r="L48" s="291"/>
      <c r="M48" s="291"/>
      <c r="N48" s="291"/>
      <c r="O48" s="291"/>
      <c r="P48" s="291"/>
      <c r="S48" s="51">
        <f t="shared" si="6"/>
        <v>100</v>
      </c>
    </row>
    <row r="49" spans="1:19" x14ac:dyDescent="0.2">
      <c r="A49" s="289" t="str">
        <f t="shared" si="7"/>
        <v>6|9</v>
      </c>
      <c r="B49" s="290" t="s">
        <v>156</v>
      </c>
      <c r="C49" s="285" t="s">
        <v>157</v>
      </c>
      <c r="D49" s="286">
        <v>6</v>
      </c>
      <c r="E49" s="292">
        <v>5</v>
      </c>
      <c r="F49" s="292">
        <v>15</v>
      </c>
      <c r="G49" s="292">
        <v>25</v>
      </c>
      <c r="H49" s="292">
        <v>25</v>
      </c>
      <c r="I49" s="292">
        <v>20</v>
      </c>
      <c r="J49" s="291">
        <v>10</v>
      </c>
      <c r="K49" s="291"/>
      <c r="L49" s="291"/>
      <c r="M49" s="291"/>
      <c r="N49" s="291"/>
      <c r="O49" s="291"/>
      <c r="P49" s="291"/>
      <c r="S49" s="51">
        <f t="shared" si="6"/>
        <v>100</v>
      </c>
    </row>
    <row r="50" spans="1:19" x14ac:dyDescent="0.2">
      <c r="A50" s="289" t="str">
        <f t="shared" si="7"/>
        <v>6|10</v>
      </c>
      <c r="B50" s="290" t="s">
        <v>158</v>
      </c>
      <c r="C50" s="285" t="s">
        <v>151</v>
      </c>
      <c r="D50" s="286"/>
      <c r="E50" s="292">
        <v>20</v>
      </c>
      <c r="F50" s="292">
        <v>30</v>
      </c>
      <c r="G50" s="292">
        <v>30</v>
      </c>
      <c r="H50" s="292">
        <v>15</v>
      </c>
      <c r="I50" s="292">
        <v>5</v>
      </c>
      <c r="J50" s="291"/>
      <c r="K50" s="291"/>
      <c r="L50" s="291"/>
      <c r="M50" s="291"/>
      <c r="N50" s="291"/>
      <c r="O50" s="291"/>
      <c r="P50" s="291"/>
      <c r="S50" s="51">
        <f t="shared" si="6"/>
        <v>100</v>
      </c>
    </row>
    <row r="51" spans="1:19" x14ac:dyDescent="0.2">
      <c r="A51" s="289" t="str">
        <f t="shared" si="7"/>
        <v>6|11</v>
      </c>
      <c r="B51" s="290" t="s">
        <v>164</v>
      </c>
      <c r="C51" s="285" t="s">
        <v>176</v>
      </c>
      <c r="D51" s="286"/>
      <c r="E51" s="292">
        <v>3</v>
      </c>
      <c r="F51" s="292">
        <v>12</v>
      </c>
      <c r="G51" s="292">
        <v>25</v>
      </c>
      <c r="H51" s="292">
        <v>28</v>
      </c>
      <c r="I51" s="292">
        <v>21</v>
      </c>
      <c r="J51" s="291">
        <v>11</v>
      </c>
      <c r="K51" s="291"/>
      <c r="L51" s="291"/>
      <c r="M51" s="291"/>
      <c r="N51" s="291"/>
      <c r="O51" s="291"/>
      <c r="P51" s="291"/>
      <c r="S51" s="51">
        <f t="shared" si="6"/>
        <v>100</v>
      </c>
    </row>
    <row r="52" spans="1:19" ht="5.45" customHeight="1" x14ac:dyDescent="0.2"/>
    <row r="53" spans="1:19" ht="13.5" thickBot="1" x14ac:dyDescent="0.25">
      <c r="A53" s="293" t="s">
        <v>35</v>
      </c>
      <c r="B53" s="294">
        <v>7</v>
      </c>
      <c r="C53" s="295"/>
      <c r="D53" s="296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</row>
    <row r="54" spans="1:19" ht="13.5" thickTop="1" x14ac:dyDescent="0.2">
      <c r="A54" s="297" t="str">
        <f>CONCATENATE($B$53,"|",B54)</f>
        <v>7|1</v>
      </c>
      <c r="B54" s="284">
        <v>1</v>
      </c>
      <c r="C54" s="285" t="s">
        <v>152</v>
      </c>
      <c r="D54" s="286">
        <v>1</v>
      </c>
      <c r="E54" s="287">
        <v>15</v>
      </c>
      <c r="F54" s="287">
        <v>30</v>
      </c>
      <c r="G54" s="287">
        <v>30</v>
      </c>
      <c r="H54" s="287">
        <v>20</v>
      </c>
      <c r="I54" s="287">
        <v>5</v>
      </c>
      <c r="J54" s="288"/>
      <c r="K54" s="288"/>
      <c r="L54" s="288"/>
      <c r="M54" s="288"/>
      <c r="N54" s="288"/>
      <c r="O54" s="288"/>
      <c r="P54" s="288"/>
      <c r="S54" s="51">
        <f>SUM(E54:P54)</f>
        <v>100</v>
      </c>
    </row>
    <row r="55" spans="1:19" x14ac:dyDescent="0.2">
      <c r="A55" s="289" t="str">
        <f>CONCATENATE($B$53,"|",B55)</f>
        <v>7|2</v>
      </c>
      <c r="B55" s="290" t="s">
        <v>89</v>
      </c>
      <c r="C55" s="285" t="s">
        <v>148</v>
      </c>
      <c r="D55" s="286">
        <v>2</v>
      </c>
      <c r="E55" s="287">
        <v>15</v>
      </c>
      <c r="F55" s="287">
        <v>20</v>
      </c>
      <c r="G55" s="287">
        <v>25</v>
      </c>
      <c r="H55" s="287">
        <v>25</v>
      </c>
      <c r="I55" s="287">
        <v>15</v>
      </c>
      <c r="J55" s="291"/>
      <c r="K55" s="291"/>
      <c r="L55" s="291"/>
      <c r="M55" s="291"/>
      <c r="N55" s="291"/>
      <c r="O55" s="291"/>
      <c r="P55" s="291"/>
      <c r="S55" s="51">
        <f t="shared" ref="S55:S64" si="8">SUM(E55:P55)</f>
        <v>100</v>
      </c>
    </row>
    <row r="56" spans="1:19" x14ac:dyDescent="0.2">
      <c r="A56" s="289" t="str">
        <f t="shared" ref="A56:A64" si="9">CONCATENATE($B$53,"|",B56)</f>
        <v>7|3</v>
      </c>
      <c r="B56" s="290" t="s">
        <v>93</v>
      </c>
      <c r="C56" s="285" t="s">
        <v>153</v>
      </c>
      <c r="D56" s="286">
        <v>3</v>
      </c>
      <c r="E56" s="292">
        <v>5</v>
      </c>
      <c r="F56" s="292">
        <v>15</v>
      </c>
      <c r="G56" s="292">
        <v>20</v>
      </c>
      <c r="H56" s="292">
        <v>25</v>
      </c>
      <c r="I56" s="292">
        <v>20</v>
      </c>
      <c r="J56" s="291">
        <v>15</v>
      </c>
      <c r="K56" s="291"/>
      <c r="L56" s="291"/>
      <c r="M56" s="291"/>
      <c r="N56" s="291"/>
      <c r="O56" s="291"/>
      <c r="P56" s="291"/>
      <c r="S56" s="51">
        <f t="shared" si="8"/>
        <v>100</v>
      </c>
    </row>
    <row r="57" spans="1:19" x14ac:dyDescent="0.2">
      <c r="A57" s="289" t="str">
        <f t="shared" si="9"/>
        <v>7|4</v>
      </c>
      <c r="B57" s="290" t="s">
        <v>96</v>
      </c>
      <c r="C57" s="285" t="s">
        <v>149</v>
      </c>
      <c r="D57" s="286">
        <v>4</v>
      </c>
      <c r="E57" s="292"/>
      <c r="F57" s="292"/>
      <c r="G57" s="292">
        <v>15</v>
      </c>
      <c r="H57" s="292">
        <v>25</v>
      </c>
      <c r="I57" s="292">
        <v>25</v>
      </c>
      <c r="J57" s="291">
        <v>25</v>
      </c>
      <c r="K57" s="291">
        <v>10</v>
      </c>
      <c r="L57" s="291"/>
      <c r="M57" s="291"/>
      <c r="N57" s="291"/>
      <c r="O57" s="291"/>
      <c r="P57" s="291"/>
      <c r="S57" s="51">
        <f t="shared" si="8"/>
        <v>100</v>
      </c>
    </row>
    <row r="58" spans="1:19" x14ac:dyDescent="0.2">
      <c r="A58" s="289" t="str">
        <f t="shared" si="9"/>
        <v>7|5</v>
      </c>
      <c r="B58" s="290" t="s">
        <v>88</v>
      </c>
      <c r="C58" s="285" t="s">
        <v>150</v>
      </c>
      <c r="D58" s="286">
        <v>5</v>
      </c>
      <c r="E58" s="292"/>
      <c r="F58" s="292">
        <v>10</v>
      </c>
      <c r="G58" s="292">
        <v>15</v>
      </c>
      <c r="H58" s="292">
        <v>30</v>
      </c>
      <c r="I58" s="292">
        <v>30</v>
      </c>
      <c r="J58" s="291">
        <v>15</v>
      </c>
      <c r="K58" s="291"/>
      <c r="L58" s="291"/>
      <c r="M58" s="291"/>
      <c r="N58" s="291"/>
      <c r="O58" s="291"/>
      <c r="P58" s="291"/>
      <c r="S58" s="51">
        <f t="shared" si="8"/>
        <v>100</v>
      </c>
    </row>
    <row r="59" spans="1:19" x14ac:dyDescent="0.2">
      <c r="A59" s="289" t="str">
        <f t="shared" si="9"/>
        <v>7|6</v>
      </c>
      <c r="B59" s="290" t="s">
        <v>97</v>
      </c>
      <c r="C59" s="285" t="s">
        <v>429</v>
      </c>
      <c r="D59" s="286">
        <v>3</v>
      </c>
      <c r="E59" s="292"/>
      <c r="F59" s="292">
        <v>5</v>
      </c>
      <c r="G59" s="292">
        <v>10</v>
      </c>
      <c r="H59" s="292">
        <v>25</v>
      </c>
      <c r="I59" s="292">
        <v>25</v>
      </c>
      <c r="J59" s="291">
        <v>20</v>
      </c>
      <c r="K59" s="291">
        <v>15</v>
      </c>
      <c r="L59" s="291"/>
      <c r="M59" s="291"/>
      <c r="N59" s="291"/>
      <c r="O59" s="291"/>
      <c r="P59" s="291"/>
      <c r="S59" s="51">
        <f t="shared" si="8"/>
        <v>100</v>
      </c>
    </row>
    <row r="60" spans="1:19" x14ac:dyDescent="0.2">
      <c r="A60" s="289" t="str">
        <f t="shared" si="9"/>
        <v>7|7</v>
      </c>
      <c r="B60" s="290" t="s">
        <v>147</v>
      </c>
      <c r="C60" s="285" t="s">
        <v>154</v>
      </c>
      <c r="D60" s="286">
        <v>5</v>
      </c>
      <c r="E60" s="292"/>
      <c r="F60" s="292"/>
      <c r="G60" s="292">
        <v>15</v>
      </c>
      <c r="H60" s="292">
        <v>15</v>
      </c>
      <c r="I60" s="292">
        <v>25</v>
      </c>
      <c r="J60" s="292">
        <v>25</v>
      </c>
      <c r="K60" s="291">
        <v>20</v>
      </c>
      <c r="L60" s="291"/>
      <c r="M60" s="291"/>
      <c r="N60" s="291"/>
      <c r="O60" s="291"/>
      <c r="P60" s="291"/>
      <c r="S60" s="51">
        <f t="shared" si="8"/>
        <v>100</v>
      </c>
    </row>
    <row r="61" spans="1:19" x14ac:dyDescent="0.2">
      <c r="A61" s="289" t="str">
        <f t="shared" si="9"/>
        <v>7|8</v>
      </c>
      <c r="B61" s="290" t="s">
        <v>108</v>
      </c>
      <c r="C61" s="285" t="s">
        <v>155</v>
      </c>
      <c r="D61" s="286">
        <v>6</v>
      </c>
      <c r="E61" s="292"/>
      <c r="F61" s="292"/>
      <c r="G61" s="292">
        <v>10</v>
      </c>
      <c r="H61" s="292">
        <v>20</v>
      </c>
      <c r="I61" s="292">
        <v>20</v>
      </c>
      <c r="J61" s="291">
        <v>30</v>
      </c>
      <c r="K61" s="291">
        <v>20</v>
      </c>
      <c r="L61" s="291"/>
      <c r="M61" s="291"/>
      <c r="N61" s="291"/>
      <c r="O61" s="291"/>
      <c r="P61" s="291"/>
      <c r="S61" s="51">
        <f t="shared" si="8"/>
        <v>100</v>
      </c>
    </row>
    <row r="62" spans="1:19" x14ac:dyDescent="0.2">
      <c r="A62" s="289" t="str">
        <f t="shared" si="9"/>
        <v>7|9</v>
      </c>
      <c r="B62" s="290" t="s">
        <v>156</v>
      </c>
      <c r="C62" s="285" t="s">
        <v>157</v>
      </c>
      <c r="D62" s="286">
        <v>6</v>
      </c>
      <c r="E62" s="292">
        <v>5</v>
      </c>
      <c r="F62" s="292">
        <v>10</v>
      </c>
      <c r="G62" s="292">
        <v>20</v>
      </c>
      <c r="H62" s="292">
        <v>20</v>
      </c>
      <c r="I62" s="292">
        <v>20</v>
      </c>
      <c r="J62" s="291">
        <v>15</v>
      </c>
      <c r="K62" s="291">
        <v>10</v>
      </c>
      <c r="L62" s="291"/>
      <c r="M62" s="291"/>
      <c r="N62" s="291"/>
      <c r="O62" s="291"/>
      <c r="P62" s="291"/>
      <c r="S62" s="51">
        <f t="shared" si="8"/>
        <v>100</v>
      </c>
    </row>
    <row r="63" spans="1:19" x14ac:dyDescent="0.2">
      <c r="A63" s="289" t="str">
        <f t="shared" si="9"/>
        <v>7|10</v>
      </c>
      <c r="B63" s="290" t="s">
        <v>158</v>
      </c>
      <c r="C63" s="285" t="s">
        <v>151</v>
      </c>
      <c r="D63" s="286"/>
      <c r="E63" s="292">
        <v>15</v>
      </c>
      <c r="F63" s="292">
        <v>25</v>
      </c>
      <c r="G63" s="292">
        <v>25</v>
      </c>
      <c r="H63" s="292">
        <v>20</v>
      </c>
      <c r="I63" s="292">
        <v>10</v>
      </c>
      <c r="J63" s="291">
        <v>5</v>
      </c>
      <c r="K63" s="291"/>
      <c r="L63" s="291"/>
      <c r="M63" s="291"/>
      <c r="N63" s="291"/>
      <c r="O63" s="291"/>
      <c r="P63" s="291"/>
      <c r="S63" s="51">
        <f t="shared" si="8"/>
        <v>100</v>
      </c>
    </row>
    <row r="64" spans="1:19" x14ac:dyDescent="0.2">
      <c r="A64" s="289" t="str">
        <f t="shared" si="9"/>
        <v>7|11</v>
      </c>
      <c r="B64" s="290" t="s">
        <v>164</v>
      </c>
      <c r="C64" s="285" t="s">
        <v>176</v>
      </c>
      <c r="D64" s="286"/>
      <c r="E64" s="292">
        <v>2</v>
      </c>
      <c r="F64" s="292">
        <v>8</v>
      </c>
      <c r="G64" s="292">
        <v>18</v>
      </c>
      <c r="H64" s="292">
        <v>20</v>
      </c>
      <c r="I64" s="292">
        <v>20</v>
      </c>
      <c r="J64" s="291">
        <v>20</v>
      </c>
      <c r="K64" s="291">
        <v>12</v>
      </c>
      <c r="L64" s="291"/>
      <c r="M64" s="291"/>
      <c r="N64" s="291"/>
      <c r="O64" s="291"/>
      <c r="P64" s="291"/>
      <c r="S64" s="51">
        <f t="shared" si="8"/>
        <v>100</v>
      </c>
    </row>
    <row r="65" spans="1:19" ht="5.45" customHeight="1" x14ac:dyDescent="0.2"/>
    <row r="66" spans="1:19" ht="13.5" thickBot="1" x14ac:dyDescent="0.25">
      <c r="A66" s="293" t="s">
        <v>35</v>
      </c>
      <c r="B66" s="294">
        <v>8</v>
      </c>
      <c r="C66" s="295"/>
      <c r="D66" s="296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</row>
    <row r="67" spans="1:19" ht="13.5" thickTop="1" x14ac:dyDescent="0.2">
      <c r="A67" s="297" t="str">
        <f>CONCATENATE($B$66,"|",B67)</f>
        <v>8|1</v>
      </c>
      <c r="B67" s="284">
        <v>1</v>
      </c>
      <c r="C67" s="285" t="s">
        <v>152</v>
      </c>
      <c r="D67" s="286">
        <v>1</v>
      </c>
      <c r="E67" s="287">
        <v>15</v>
      </c>
      <c r="F67" s="287">
        <v>20</v>
      </c>
      <c r="G67" s="287">
        <v>25</v>
      </c>
      <c r="H67" s="287">
        <v>25</v>
      </c>
      <c r="I67" s="287">
        <v>10</v>
      </c>
      <c r="J67" s="288">
        <v>5</v>
      </c>
      <c r="K67" s="288"/>
      <c r="L67" s="288"/>
      <c r="M67" s="288"/>
      <c r="N67" s="288"/>
      <c r="O67" s="288"/>
      <c r="P67" s="288"/>
      <c r="S67" s="51">
        <f>SUM(E67:P67)</f>
        <v>100</v>
      </c>
    </row>
    <row r="68" spans="1:19" x14ac:dyDescent="0.2">
      <c r="A68" s="289" t="str">
        <f>CONCATENATE($B$66,"|",B68)</f>
        <v>8|2</v>
      </c>
      <c r="B68" s="290" t="s">
        <v>89</v>
      </c>
      <c r="C68" s="285" t="s">
        <v>148</v>
      </c>
      <c r="D68" s="286">
        <v>2</v>
      </c>
      <c r="E68" s="287">
        <v>15</v>
      </c>
      <c r="F68" s="287">
        <v>20</v>
      </c>
      <c r="G68" s="287">
        <v>25</v>
      </c>
      <c r="H68" s="287">
        <v>25</v>
      </c>
      <c r="I68" s="287">
        <v>10</v>
      </c>
      <c r="J68" s="291">
        <v>5</v>
      </c>
      <c r="K68" s="291"/>
      <c r="L68" s="291"/>
      <c r="M68" s="291"/>
      <c r="N68" s="291"/>
      <c r="O68" s="291"/>
      <c r="P68" s="291"/>
      <c r="S68" s="51">
        <f t="shared" ref="S68:S77" si="10">SUM(E68:P68)</f>
        <v>100</v>
      </c>
    </row>
    <row r="69" spans="1:19" x14ac:dyDescent="0.2">
      <c r="A69" s="289" t="str">
        <f t="shared" ref="A69:A77" si="11">CONCATENATE($B$66,"|",B69)</f>
        <v>8|3</v>
      </c>
      <c r="B69" s="290" t="s">
        <v>93</v>
      </c>
      <c r="C69" s="285" t="s">
        <v>153</v>
      </c>
      <c r="D69" s="286">
        <v>3</v>
      </c>
      <c r="E69" s="292">
        <v>5</v>
      </c>
      <c r="F69" s="292">
        <v>10</v>
      </c>
      <c r="G69" s="292">
        <v>15</v>
      </c>
      <c r="H69" s="292">
        <v>20</v>
      </c>
      <c r="I69" s="292">
        <v>20</v>
      </c>
      <c r="J69" s="291">
        <v>20</v>
      </c>
      <c r="K69" s="291">
        <v>10</v>
      </c>
      <c r="L69" s="291"/>
      <c r="M69" s="291"/>
      <c r="N69" s="291"/>
      <c r="O69" s="291"/>
      <c r="P69" s="291"/>
      <c r="S69" s="51">
        <f t="shared" si="10"/>
        <v>100</v>
      </c>
    </row>
    <row r="70" spans="1:19" x14ac:dyDescent="0.2">
      <c r="A70" s="289" t="str">
        <f t="shared" si="11"/>
        <v>8|4</v>
      </c>
      <c r="B70" s="290" t="s">
        <v>96</v>
      </c>
      <c r="C70" s="285" t="s">
        <v>149</v>
      </c>
      <c r="D70" s="286">
        <v>4</v>
      </c>
      <c r="E70" s="292"/>
      <c r="F70" s="292"/>
      <c r="G70" s="292">
        <v>10</v>
      </c>
      <c r="H70" s="292">
        <v>25</v>
      </c>
      <c r="I70" s="292">
        <v>25</v>
      </c>
      <c r="J70" s="291">
        <v>20</v>
      </c>
      <c r="K70" s="291">
        <v>10</v>
      </c>
      <c r="L70" s="291">
        <v>10</v>
      </c>
      <c r="M70" s="291"/>
      <c r="N70" s="291"/>
      <c r="O70" s="291"/>
      <c r="P70" s="291"/>
      <c r="S70" s="51">
        <f t="shared" si="10"/>
        <v>100</v>
      </c>
    </row>
    <row r="71" spans="1:19" x14ac:dyDescent="0.2">
      <c r="A71" s="289" t="str">
        <f t="shared" si="11"/>
        <v>8|5</v>
      </c>
      <c r="B71" s="290" t="s">
        <v>88</v>
      </c>
      <c r="C71" s="285" t="s">
        <v>150</v>
      </c>
      <c r="D71" s="286">
        <v>5</v>
      </c>
      <c r="E71" s="292"/>
      <c r="F71" s="292">
        <v>5</v>
      </c>
      <c r="G71" s="292">
        <v>15</v>
      </c>
      <c r="H71" s="292">
        <v>25</v>
      </c>
      <c r="I71" s="292">
        <v>25</v>
      </c>
      <c r="J71" s="291">
        <v>15</v>
      </c>
      <c r="K71" s="291">
        <v>15</v>
      </c>
      <c r="L71" s="291"/>
      <c r="M71" s="291"/>
      <c r="N71" s="291"/>
      <c r="O71" s="291"/>
      <c r="P71" s="291"/>
      <c r="S71" s="51">
        <f t="shared" si="10"/>
        <v>100</v>
      </c>
    </row>
    <row r="72" spans="1:19" x14ac:dyDescent="0.2">
      <c r="A72" s="289" t="str">
        <f t="shared" si="11"/>
        <v>8|6</v>
      </c>
      <c r="B72" s="290" t="s">
        <v>97</v>
      </c>
      <c r="C72" s="285" t="s">
        <v>429</v>
      </c>
      <c r="D72" s="286">
        <v>3</v>
      </c>
      <c r="E72" s="292"/>
      <c r="F72" s="292"/>
      <c r="G72" s="292">
        <v>5</v>
      </c>
      <c r="H72" s="292">
        <v>20</v>
      </c>
      <c r="I72" s="292">
        <v>20</v>
      </c>
      <c r="J72" s="291">
        <v>25</v>
      </c>
      <c r="K72" s="291">
        <v>20</v>
      </c>
      <c r="L72" s="291">
        <v>10</v>
      </c>
      <c r="M72" s="291"/>
      <c r="N72" s="291"/>
      <c r="O72" s="291"/>
      <c r="P72" s="291"/>
      <c r="S72" s="51">
        <f t="shared" si="10"/>
        <v>100</v>
      </c>
    </row>
    <row r="73" spans="1:19" x14ac:dyDescent="0.2">
      <c r="A73" s="289" t="str">
        <f t="shared" si="11"/>
        <v>8|7</v>
      </c>
      <c r="B73" s="290" t="s">
        <v>147</v>
      </c>
      <c r="C73" s="285" t="s">
        <v>154</v>
      </c>
      <c r="D73" s="286">
        <v>5</v>
      </c>
      <c r="E73" s="292"/>
      <c r="F73" s="292"/>
      <c r="G73" s="292">
        <v>5</v>
      </c>
      <c r="H73" s="292">
        <v>15</v>
      </c>
      <c r="I73" s="292">
        <v>20</v>
      </c>
      <c r="J73" s="292">
        <v>25</v>
      </c>
      <c r="K73" s="292">
        <v>25</v>
      </c>
      <c r="L73" s="292">
        <v>10</v>
      </c>
      <c r="M73" s="291"/>
      <c r="N73" s="291"/>
      <c r="O73" s="291"/>
      <c r="P73" s="291"/>
      <c r="S73" s="51">
        <f t="shared" si="10"/>
        <v>100</v>
      </c>
    </row>
    <row r="74" spans="1:19" x14ac:dyDescent="0.2">
      <c r="A74" s="289" t="str">
        <f t="shared" si="11"/>
        <v>8|8</v>
      </c>
      <c r="B74" s="290" t="s">
        <v>108</v>
      </c>
      <c r="C74" s="285" t="s">
        <v>155</v>
      </c>
      <c r="D74" s="286">
        <v>6</v>
      </c>
      <c r="E74" s="292"/>
      <c r="F74" s="292"/>
      <c r="G74" s="292"/>
      <c r="H74" s="292">
        <v>20</v>
      </c>
      <c r="I74" s="292">
        <v>20</v>
      </c>
      <c r="J74" s="291">
        <v>30</v>
      </c>
      <c r="K74" s="291">
        <v>20</v>
      </c>
      <c r="L74" s="291">
        <v>10</v>
      </c>
      <c r="M74" s="291"/>
      <c r="N74" s="291"/>
      <c r="O74" s="291"/>
      <c r="P74" s="291"/>
      <c r="S74" s="51">
        <f t="shared" si="10"/>
        <v>100</v>
      </c>
    </row>
    <row r="75" spans="1:19" x14ac:dyDescent="0.2">
      <c r="A75" s="289" t="str">
        <f t="shared" si="11"/>
        <v>8|9</v>
      </c>
      <c r="B75" s="290" t="s">
        <v>156</v>
      </c>
      <c r="C75" s="285" t="s">
        <v>157</v>
      </c>
      <c r="D75" s="286">
        <v>6</v>
      </c>
      <c r="E75" s="292">
        <v>5</v>
      </c>
      <c r="F75" s="292">
        <v>5</v>
      </c>
      <c r="G75" s="292">
        <v>10</v>
      </c>
      <c r="H75" s="292">
        <v>15</v>
      </c>
      <c r="I75" s="292">
        <v>20</v>
      </c>
      <c r="J75" s="291">
        <v>20</v>
      </c>
      <c r="K75" s="291">
        <v>15</v>
      </c>
      <c r="L75" s="291">
        <v>10</v>
      </c>
      <c r="M75" s="291"/>
      <c r="N75" s="291"/>
      <c r="O75" s="291"/>
      <c r="P75" s="291"/>
      <c r="S75" s="51">
        <f t="shared" si="10"/>
        <v>100</v>
      </c>
    </row>
    <row r="76" spans="1:19" x14ac:dyDescent="0.2">
      <c r="A76" s="289" t="str">
        <f t="shared" si="11"/>
        <v>8|10</v>
      </c>
      <c r="B76" s="290" t="s">
        <v>158</v>
      </c>
      <c r="C76" s="285" t="s">
        <v>151</v>
      </c>
      <c r="D76" s="286"/>
      <c r="E76" s="292">
        <v>15</v>
      </c>
      <c r="F76" s="292">
        <v>20</v>
      </c>
      <c r="G76" s="292">
        <v>20</v>
      </c>
      <c r="H76" s="292">
        <v>20</v>
      </c>
      <c r="I76" s="292">
        <v>15</v>
      </c>
      <c r="J76" s="291">
        <v>10</v>
      </c>
      <c r="K76" s="291"/>
      <c r="L76" s="291"/>
      <c r="M76" s="291"/>
      <c r="N76" s="291"/>
      <c r="O76" s="291"/>
      <c r="P76" s="291"/>
      <c r="S76" s="51">
        <f t="shared" si="10"/>
        <v>100</v>
      </c>
    </row>
    <row r="77" spans="1:19" x14ac:dyDescent="0.2">
      <c r="A77" s="289" t="str">
        <f t="shared" si="11"/>
        <v>8|11</v>
      </c>
      <c r="B77" s="290" t="s">
        <v>164</v>
      </c>
      <c r="C77" s="285" t="s">
        <v>176</v>
      </c>
      <c r="D77" s="286"/>
      <c r="E77" s="292">
        <v>2</v>
      </c>
      <c r="F77" s="292">
        <v>2</v>
      </c>
      <c r="G77" s="292">
        <v>13</v>
      </c>
      <c r="H77" s="292">
        <v>15</v>
      </c>
      <c r="I77" s="292">
        <v>15</v>
      </c>
      <c r="J77" s="291">
        <v>22</v>
      </c>
      <c r="K77" s="291">
        <v>23</v>
      </c>
      <c r="L77" s="291">
        <v>8</v>
      </c>
      <c r="M77" s="291"/>
      <c r="N77" s="291"/>
      <c r="O77" s="291"/>
      <c r="P77" s="291"/>
      <c r="S77" s="51">
        <f t="shared" si="10"/>
        <v>100</v>
      </c>
    </row>
    <row r="78" spans="1:19" ht="5.45" customHeight="1" x14ac:dyDescent="0.2"/>
    <row r="79" spans="1:19" ht="13.5" thickBot="1" x14ac:dyDescent="0.25">
      <c r="A79" s="293" t="s">
        <v>35</v>
      </c>
      <c r="B79" s="294">
        <v>9</v>
      </c>
      <c r="C79" s="295"/>
      <c r="D79" s="296"/>
      <c r="E79" s="282"/>
      <c r="F79" s="282"/>
      <c r="G79" s="282"/>
      <c r="H79" s="282"/>
      <c r="I79" s="282"/>
      <c r="J79" s="282"/>
      <c r="K79" s="282"/>
      <c r="L79" s="282"/>
      <c r="M79" s="282"/>
      <c r="N79" s="282"/>
      <c r="O79" s="282"/>
      <c r="P79" s="282"/>
    </row>
    <row r="80" spans="1:19" ht="13.5" thickTop="1" x14ac:dyDescent="0.2">
      <c r="A80" s="297" t="str">
        <f>CONCATENATE($B$79,"|",B80)</f>
        <v>9|1</v>
      </c>
      <c r="B80" s="284">
        <v>1</v>
      </c>
      <c r="C80" s="285" t="s">
        <v>152</v>
      </c>
      <c r="D80" s="286">
        <v>1</v>
      </c>
      <c r="E80" s="287">
        <v>15</v>
      </c>
      <c r="F80" s="287">
        <v>15</v>
      </c>
      <c r="G80" s="287">
        <v>20</v>
      </c>
      <c r="H80" s="287">
        <v>20</v>
      </c>
      <c r="I80" s="287">
        <v>20</v>
      </c>
      <c r="J80" s="288">
        <v>10</v>
      </c>
      <c r="K80" s="288"/>
      <c r="L80" s="288"/>
      <c r="M80" s="288"/>
      <c r="N80" s="288"/>
      <c r="O80" s="288"/>
      <c r="P80" s="288"/>
      <c r="S80" s="51">
        <f>SUM(E80:P80)</f>
        <v>100</v>
      </c>
    </row>
    <row r="81" spans="1:19" x14ac:dyDescent="0.2">
      <c r="A81" s="289" t="str">
        <f>CONCATENATE($B$79,"|",B81)</f>
        <v>9|2</v>
      </c>
      <c r="B81" s="290" t="s">
        <v>89</v>
      </c>
      <c r="C81" s="285" t="s">
        <v>148</v>
      </c>
      <c r="D81" s="286">
        <v>2</v>
      </c>
      <c r="E81" s="287">
        <v>10</v>
      </c>
      <c r="F81" s="287">
        <v>15</v>
      </c>
      <c r="G81" s="287">
        <v>20</v>
      </c>
      <c r="H81" s="287">
        <v>20</v>
      </c>
      <c r="I81" s="287">
        <v>15</v>
      </c>
      <c r="J81" s="291">
        <v>15</v>
      </c>
      <c r="K81" s="291">
        <v>5</v>
      </c>
      <c r="L81" s="291"/>
      <c r="M81" s="291"/>
      <c r="N81" s="291"/>
      <c r="O81" s="291"/>
      <c r="P81" s="291"/>
      <c r="S81" s="51">
        <f t="shared" ref="S81:S90" si="12">SUM(E81:P81)</f>
        <v>100</v>
      </c>
    </row>
    <row r="82" spans="1:19" x14ac:dyDescent="0.2">
      <c r="A82" s="289" t="str">
        <f t="shared" ref="A82:A90" si="13">CONCATENATE($B$79,"|",B82)</f>
        <v>9|3</v>
      </c>
      <c r="B82" s="290" t="s">
        <v>93</v>
      </c>
      <c r="C82" s="285" t="s">
        <v>153</v>
      </c>
      <c r="D82" s="286">
        <v>3</v>
      </c>
      <c r="E82" s="292">
        <v>5</v>
      </c>
      <c r="F82" s="292">
        <v>10</v>
      </c>
      <c r="G82" s="292">
        <v>15</v>
      </c>
      <c r="H82" s="292">
        <v>20</v>
      </c>
      <c r="I82" s="292">
        <v>20</v>
      </c>
      <c r="J82" s="291">
        <v>10</v>
      </c>
      <c r="K82" s="291">
        <v>10</v>
      </c>
      <c r="L82" s="291">
        <v>10</v>
      </c>
      <c r="M82" s="291"/>
      <c r="N82" s="291"/>
      <c r="O82" s="291"/>
      <c r="P82" s="291"/>
      <c r="S82" s="51">
        <f t="shared" si="12"/>
        <v>100</v>
      </c>
    </row>
    <row r="83" spans="1:19" x14ac:dyDescent="0.2">
      <c r="A83" s="289" t="str">
        <f t="shared" si="13"/>
        <v>9|4</v>
      </c>
      <c r="B83" s="290" t="s">
        <v>96</v>
      </c>
      <c r="C83" s="285" t="s">
        <v>149</v>
      </c>
      <c r="D83" s="286">
        <v>4</v>
      </c>
      <c r="E83" s="292"/>
      <c r="F83" s="292"/>
      <c r="G83" s="292">
        <v>5</v>
      </c>
      <c r="H83" s="292">
        <v>15</v>
      </c>
      <c r="I83" s="292">
        <v>20</v>
      </c>
      <c r="J83" s="291">
        <v>20</v>
      </c>
      <c r="K83" s="291">
        <v>20</v>
      </c>
      <c r="L83" s="291">
        <v>15</v>
      </c>
      <c r="M83" s="291">
        <v>5</v>
      </c>
      <c r="N83" s="291"/>
      <c r="O83" s="291"/>
      <c r="P83" s="291"/>
      <c r="S83" s="51">
        <f t="shared" si="12"/>
        <v>100</v>
      </c>
    </row>
    <row r="84" spans="1:19" x14ac:dyDescent="0.2">
      <c r="A84" s="289" t="str">
        <f t="shared" si="13"/>
        <v>9|5</v>
      </c>
      <c r="B84" s="290" t="s">
        <v>88</v>
      </c>
      <c r="C84" s="285" t="s">
        <v>150</v>
      </c>
      <c r="D84" s="286">
        <v>5</v>
      </c>
      <c r="E84" s="292"/>
      <c r="F84" s="292">
        <v>5</v>
      </c>
      <c r="G84" s="292">
        <v>10</v>
      </c>
      <c r="H84" s="292">
        <v>15</v>
      </c>
      <c r="I84" s="292">
        <v>20</v>
      </c>
      <c r="J84" s="291">
        <v>20</v>
      </c>
      <c r="K84" s="291">
        <v>20</v>
      </c>
      <c r="L84" s="291">
        <v>10</v>
      </c>
      <c r="M84" s="291"/>
      <c r="N84" s="291"/>
      <c r="O84" s="291"/>
      <c r="P84" s="291"/>
      <c r="S84" s="51">
        <f t="shared" si="12"/>
        <v>100</v>
      </c>
    </row>
    <row r="85" spans="1:19" x14ac:dyDescent="0.2">
      <c r="A85" s="289" t="str">
        <f t="shared" si="13"/>
        <v>9|6</v>
      </c>
      <c r="B85" s="290" t="s">
        <v>97</v>
      </c>
      <c r="C85" s="285" t="s">
        <v>429</v>
      </c>
      <c r="D85" s="286">
        <v>3</v>
      </c>
      <c r="E85" s="292"/>
      <c r="F85" s="292"/>
      <c r="G85" s="292">
        <v>5</v>
      </c>
      <c r="H85" s="292">
        <v>10</v>
      </c>
      <c r="I85" s="292">
        <v>20</v>
      </c>
      <c r="J85" s="291">
        <v>20</v>
      </c>
      <c r="K85" s="291">
        <v>20</v>
      </c>
      <c r="L85" s="291">
        <v>15</v>
      </c>
      <c r="M85" s="291">
        <v>10</v>
      </c>
      <c r="N85" s="291"/>
      <c r="O85" s="291"/>
      <c r="P85" s="291"/>
      <c r="S85" s="51">
        <f t="shared" si="12"/>
        <v>100</v>
      </c>
    </row>
    <row r="86" spans="1:19" x14ac:dyDescent="0.2">
      <c r="A86" s="289" t="str">
        <f t="shared" si="13"/>
        <v>9|7</v>
      </c>
      <c r="B86" s="290" t="s">
        <v>147</v>
      </c>
      <c r="C86" s="285" t="s">
        <v>154</v>
      </c>
      <c r="D86" s="286">
        <v>5</v>
      </c>
      <c r="E86" s="292"/>
      <c r="F86" s="292"/>
      <c r="G86" s="292"/>
      <c r="H86" s="292">
        <v>15</v>
      </c>
      <c r="I86" s="292">
        <v>15</v>
      </c>
      <c r="J86" s="291">
        <v>15</v>
      </c>
      <c r="K86" s="291">
        <v>20</v>
      </c>
      <c r="L86" s="291">
        <v>20</v>
      </c>
      <c r="M86" s="291">
        <v>15</v>
      </c>
      <c r="N86" s="291"/>
      <c r="O86" s="291"/>
      <c r="P86" s="291"/>
      <c r="S86" s="51">
        <f t="shared" si="12"/>
        <v>100</v>
      </c>
    </row>
    <row r="87" spans="1:19" x14ac:dyDescent="0.2">
      <c r="A87" s="289" t="str">
        <f t="shared" si="13"/>
        <v>9|8</v>
      </c>
      <c r="B87" s="290" t="s">
        <v>108</v>
      </c>
      <c r="C87" s="285" t="s">
        <v>155</v>
      </c>
      <c r="D87" s="286">
        <v>6</v>
      </c>
      <c r="E87" s="292"/>
      <c r="F87" s="292"/>
      <c r="G87" s="292"/>
      <c r="H87" s="292">
        <v>10</v>
      </c>
      <c r="I87" s="292">
        <v>20</v>
      </c>
      <c r="J87" s="291">
        <v>30</v>
      </c>
      <c r="K87" s="291">
        <v>20</v>
      </c>
      <c r="L87" s="291">
        <v>10</v>
      </c>
      <c r="M87" s="291">
        <v>10</v>
      </c>
      <c r="N87" s="291"/>
      <c r="O87" s="291"/>
      <c r="P87" s="291"/>
      <c r="S87" s="51">
        <f t="shared" si="12"/>
        <v>100</v>
      </c>
    </row>
    <row r="88" spans="1:19" x14ac:dyDescent="0.2">
      <c r="A88" s="289" t="str">
        <f t="shared" si="13"/>
        <v>9|9</v>
      </c>
      <c r="B88" s="290" t="s">
        <v>156</v>
      </c>
      <c r="C88" s="285" t="s">
        <v>157</v>
      </c>
      <c r="D88" s="286">
        <v>6</v>
      </c>
      <c r="E88" s="292">
        <v>5</v>
      </c>
      <c r="F88" s="292">
        <v>5</v>
      </c>
      <c r="G88" s="292">
        <v>10</v>
      </c>
      <c r="H88" s="292">
        <v>15</v>
      </c>
      <c r="I88" s="292">
        <v>20</v>
      </c>
      <c r="J88" s="291">
        <v>15</v>
      </c>
      <c r="K88" s="291">
        <v>15</v>
      </c>
      <c r="L88" s="291">
        <v>15</v>
      </c>
      <c r="M88" s="291"/>
      <c r="N88" s="291"/>
      <c r="O88" s="291"/>
      <c r="P88" s="291"/>
      <c r="S88" s="51">
        <f t="shared" si="12"/>
        <v>100</v>
      </c>
    </row>
    <row r="89" spans="1:19" x14ac:dyDescent="0.2">
      <c r="A89" s="289" t="str">
        <f t="shared" si="13"/>
        <v>9|10</v>
      </c>
      <c r="B89" s="290" t="s">
        <v>158</v>
      </c>
      <c r="C89" s="285" t="s">
        <v>151</v>
      </c>
      <c r="D89" s="286"/>
      <c r="E89" s="292">
        <v>10</v>
      </c>
      <c r="F89" s="292">
        <v>15</v>
      </c>
      <c r="G89" s="292">
        <v>20</v>
      </c>
      <c r="H89" s="292">
        <v>20</v>
      </c>
      <c r="I89" s="292">
        <v>20</v>
      </c>
      <c r="J89" s="291">
        <v>10</v>
      </c>
      <c r="K89" s="291">
        <v>5</v>
      </c>
      <c r="L89" s="291"/>
      <c r="M89" s="291"/>
      <c r="N89" s="291"/>
      <c r="O89" s="291"/>
      <c r="P89" s="291"/>
      <c r="S89" s="51">
        <f t="shared" si="12"/>
        <v>100</v>
      </c>
    </row>
    <row r="90" spans="1:19" x14ac:dyDescent="0.2">
      <c r="A90" s="289" t="str">
        <f t="shared" si="13"/>
        <v>9|11</v>
      </c>
      <c r="B90" s="290" t="s">
        <v>164</v>
      </c>
      <c r="C90" s="285" t="s">
        <v>176</v>
      </c>
      <c r="D90" s="286"/>
      <c r="E90" s="292">
        <v>3</v>
      </c>
      <c r="F90" s="292">
        <v>5</v>
      </c>
      <c r="G90" s="292">
        <v>11</v>
      </c>
      <c r="H90" s="292">
        <v>15</v>
      </c>
      <c r="I90" s="292">
        <v>20</v>
      </c>
      <c r="J90" s="291">
        <v>16</v>
      </c>
      <c r="K90" s="291">
        <v>14</v>
      </c>
      <c r="L90" s="291">
        <v>10</v>
      </c>
      <c r="M90" s="291">
        <v>6</v>
      </c>
      <c r="N90" s="291"/>
      <c r="O90" s="291"/>
      <c r="P90" s="291"/>
      <c r="S90" s="51">
        <f t="shared" si="12"/>
        <v>100</v>
      </c>
    </row>
    <row r="91" spans="1:19" ht="5.45" customHeight="1" x14ac:dyDescent="0.2"/>
    <row r="92" spans="1:19" ht="13.5" thickBot="1" x14ac:dyDescent="0.25">
      <c r="A92" s="293" t="s">
        <v>35</v>
      </c>
      <c r="B92" s="294">
        <v>10</v>
      </c>
      <c r="C92" s="295"/>
      <c r="D92" s="296"/>
      <c r="E92" s="282"/>
      <c r="F92" s="282"/>
      <c r="G92" s="282"/>
      <c r="H92" s="282"/>
      <c r="I92" s="282"/>
      <c r="J92" s="282"/>
      <c r="K92" s="282"/>
      <c r="L92" s="282"/>
      <c r="M92" s="282"/>
      <c r="N92" s="282"/>
      <c r="O92" s="282"/>
      <c r="P92" s="282"/>
    </row>
    <row r="93" spans="1:19" ht="13.5" thickTop="1" x14ac:dyDescent="0.2">
      <c r="A93" s="297" t="str">
        <f>CONCATENATE($B$92,"|",B93)</f>
        <v>10|1</v>
      </c>
      <c r="B93" s="284">
        <v>1</v>
      </c>
      <c r="C93" s="285" t="s">
        <v>152</v>
      </c>
      <c r="D93" s="286">
        <v>1</v>
      </c>
      <c r="E93" s="287">
        <v>20</v>
      </c>
      <c r="F93" s="287">
        <v>20</v>
      </c>
      <c r="G93" s="287">
        <v>20</v>
      </c>
      <c r="H93" s="287">
        <v>10</v>
      </c>
      <c r="I93" s="287">
        <v>10</v>
      </c>
      <c r="J93" s="288">
        <v>10</v>
      </c>
      <c r="K93" s="288">
        <v>10</v>
      </c>
      <c r="L93" s="288"/>
      <c r="M93" s="288"/>
      <c r="N93" s="288"/>
      <c r="O93" s="288"/>
      <c r="P93" s="288"/>
      <c r="S93" s="51">
        <f>SUM(E93:P93)</f>
        <v>100</v>
      </c>
    </row>
    <row r="94" spans="1:19" x14ac:dyDescent="0.2">
      <c r="A94" s="289" t="str">
        <f>CONCATENATE($B$92,"|",B94)</f>
        <v>10|2</v>
      </c>
      <c r="B94" s="290" t="s">
        <v>89</v>
      </c>
      <c r="C94" s="285" t="s">
        <v>148</v>
      </c>
      <c r="D94" s="286">
        <v>2</v>
      </c>
      <c r="E94" s="287">
        <v>5</v>
      </c>
      <c r="F94" s="287">
        <v>10</v>
      </c>
      <c r="G94" s="287">
        <v>15</v>
      </c>
      <c r="H94" s="287">
        <v>20</v>
      </c>
      <c r="I94" s="287">
        <v>20</v>
      </c>
      <c r="J94" s="291">
        <v>15</v>
      </c>
      <c r="K94" s="291">
        <v>10</v>
      </c>
      <c r="L94" s="291">
        <v>5</v>
      </c>
      <c r="M94" s="291"/>
      <c r="N94" s="291"/>
      <c r="O94" s="291"/>
      <c r="P94" s="291"/>
      <c r="S94" s="51">
        <f t="shared" ref="S94:S103" si="14">SUM(E94:P94)</f>
        <v>100</v>
      </c>
    </row>
    <row r="95" spans="1:19" x14ac:dyDescent="0.2">
      <c r="A95" s="289" t="str">
        <f t="shared" ref="A95:A103" si="15">CONCATENATE($B$92,"|",B95)</f>
        <v>10|3</v>
      </c>
      <c r="B95" s="290" t="s">
        <v>93</v>
      </c>
      <c r="C95" s="285" t="s">
        <v>153</v>
      </c>
      <c r="D95" s="286">
        <v>3</v>
      </c>
      <c r="E95" s="292"/>
      <c r="F95" s="292">
        <v>5</v>
      </c>
      <c r="G95" s="292">
        <v>10</v>
      </c>
      <c r="H95" s="292">
        <v>15</v>
      </c>
      <c r="I95" s="292">
        <v>15</v>
      </c>
      <c r="J95" s="291">
        <v>15</v>
      </c>
      <c r="K95" s="291">
        <v>15</v>
      </c>
      <c r="L95" s="291">
        <v>15</v>
      </c>
      <c r="M95" s="291">
        <v>10</v>
      </c>
      <c r="N95" s="291"/>
      <c r="O95" s="291"/>
      <c r="P95" s="291"/>
      <c r="S95" s="51">
        <f t="shared" si="14"/>
        <v>100</v>
      </c>
    </row>
    <row r="96" spans="1:19" x14ac:dyDescent="0.2">
      <c r="A96" s="289" t="str">
        <f t="shared" si="15"/>
        <v>10|4</v>
      </c>
      <c r="B96" s="290" t="s">
        <v>96</v>
      </c>
      <c r="C96" s="285" t="s">
        <v>149</v>
      </c>
      <c r="D96" s="286">
        <v>4</v>
      </c>
      <c r="E96" s="292"/>
      <c r="F96" s="292"/>
      <c r="G96" s="292">
        <v>5</v>
      </c>
      <c r="H96" s="292">
        <v>5</v>
      </c>
      <c r="I96" s="292">
        <v>15</v>
      </c>
      <c r="J96" s="291">
        <v>20</v>
      </c>
      <c r="K96" s="291">
        <v>20</v>
      </c>
      <c r="L96" s="291">
        <v>15</v>
      </c>
      <c r="M96" s="291">
        <v>10</v>
      </c>
      <c r="N96" s="291">
        <v>10</v>
      </c>
      <c r="O96" s="291"/>
      <c r="P96" s="291"/>
      <c r="S96" s="51">
        <f t="shared" si="14"/>
        <v>100</v>
      </c>
    </row>
    <row r="97" spans="1:19" x14ac:dyDescent="0.2">
      <c r="A97" s="289" t="str">
        <f t="shared" si="15"/>
        <v>10|5</v>
      </c>
      <c r="B97" s="290" t="s">
        <v>88</v>
      </c>
      <c r="C97" s="285" t="s">
        <v>150</v>
      </c>
      <c r="D97" s="286">
        <v>5</v>
      </c>
      <c r="E97" s="292"/>
      <c r="F97" s="292"/>
      <c r="G97" s="292">
        <v>10</v>
      </c>
      <c r="H97" s="292">
        <v>10</v>
      </c>
      <c r="I97" s="292">
        <v>10</v>
      </c>
      <c r="J97" s="291">
        <v>20</v>
      </c>
      <c r="K97" s="291">
        <v>20</v>
      </c>
      <c r="L97" s="291">
        <v>20</v>
      </c>
      <c r="M97" s="291">
        <v>10</v>
      </c>
      <c r="N97" s="291"/>
      <c r="O97" s="291"/>
      <c r="P97" s="291"/>
      <c r="S97" s="51">
        <f t="shared" si="14"/>
        <v>100</v>
      </c>
    </row>
    <row r="98" spans="1:19" x14ac:dyDescent="0.2">
      <c r="A98" s="289" t="str">
        <f t="shared" si="15"/>
        <v>10|6</v>
      </c>
      <c r="B98" s="290" t="s">
        <v>97</v>
      </c>
      <c r="C98" s="285" t="s">
        <v>429</v>
      </c>
      <c r="D98" s="286">
        <v>3</v>
      </c>
      <c r="E98" s="292"/>
      <c r="F98" s="292"/>
      <c r="G98" s="292"/>
      <c r="H98" s="292">
        <v>5</v>
      </c>
      <c r="I98" s="292">
        <v>10</v>
      </c>
      <c r="J98" s="292">
        <v>15</v>
      </c>
      <c r="K98" s="291">
        <v>20</v>
      </c>
      <c r="L98" s="291">
        <v>20</v>
      </c>
      <c r="M98" s="291">
        <v>15</v>
      </c>
      <c r="N98" s="291">
        <v>15</v>
      </c>
      <c r="O98" s="291"/>
      <c r="P98" s="291"/>
      <c r="S98" s="51">
        <f t="shared" si="14"/>
        <v>100</v>
      </c>
    </row>
    <row r="99" spans="1:19" x14ac:dyDescent="0.2">
      <c r="A99" s="289" t="str">
        <f t="shared" si="15"/>
        <v>10|7</v>
      </c>
      <c r="B99" s="290" t="s">
        <v>147</v>
      </c>
      <c r="C99" s="285" t="s">
        <v>154</v>
      </c>
      <c r="D99" s="286">
        <v>5</v>
      </c>
      <c r="E99" s="292"/>
      <c r="F99" s="292"/>
      <c r="G99" s="292"/>
      <c r="H99" s="292">
        <v>15</v>
      </c>
      <c r="I99" s="292">
        <v>15</v>
      </c>
      <c r="J99" s="291">
        <v>15</v>
      </c>
      <c r="K99" s="291">
        <v>20</v>
      </c>
      <c r="L99" s="291">
        <v>15</v>
      </c>
      <c r="M99" s="291">
        <v>10</v>
      </c>
      <c r="N99" s="291">
        <v>10</v>
      </c>
      <c r="O99" s="291"/>
      <c r="P99" s="291"/>
      <c r="S99" s="51">
        <f t="shared" si="14"/>
        <v>100</v>
      </c>
    </row>
    <row r="100" spans="1:19" x14ac:dyDescent="0.2">
      <c r="A100" s="289" t="str">
        <f t="shared" si="15"/>
        <v>10|8</v>
      </c>
      <c r="B100" s="290" t="s">
        <v>108</v>
      </c>
      <c r="C100" s="285" t="s">
        <v>155</v>
      </c>
      <c r="D100" s="286">
        <v>6</v>
      </c>
      <c r="E100" s="292"/>
      <c r="F100" s="292"/>
      <c r="G100" s="292"/>
      <c r="H100" s="292">
        <v>10</v>
      </c>
      <c r="I100" s="292">
        <v>20</v>
      </c>
      <c r="J100" s="291">
        <v>20</v>
      </c>
      <c r="K100" s="291">
        <v>20</v>
      </c>
      <c r="L100" s="291">
        <v>10</v>
      </c>
      <c r="M100" s="291">
        <v>10</v>
      </c>
      <c r="N100" s="291">
        <v>10</v>
      </c>
      <c r="O100" s="291"/>
      <c r="P100" s="291"/>
      <c r="S100" s="51">
        <f t="shared" si="14"/>
        <v>100</v>
      </c>
    </row>
    <row r="101" spans="1:19" x14ac:dyDescent="0.2">
      <c r="A101" s="289" t="str">
        <f t="shared" si="15"/>
        <v>10|9</v>
      </c>
      <c r="B101" s="290" t="s">
        <v>156</v>
      </c>
      <c r="C101" s="285" t="s">
        <v>157</v>
      </c>
      <c r="D101" s="286">
        <v>6</v>
      </c>
      <c r="E101" s="292">
        <v>5</v>
      </c>
      <c r="F101" s="292">
        <v>5</v>
      </c>
      <c r="G101" s="292">
        <v>10</v>
      </c>
      <c r="H101" s="292">
        <v>10</v>
      </c>
      <c r="I101" s="292">
        <v>10</v>
      </c>
      <c r="J101" s="291">
        <v>15</v>
      </c>
      <c r="K101" s="291">
        <v>15</v>
      </c>
      <c r="L101" s="291">
        <v>10</v>
      </c>
      <c r="M101" s="291">
        <v>10</v>
      </c>
      <c r="N101" s="291">
        <v>10</v>
      </c>
      <c r="O101" s="291"/>
      <c r="P101" s="291"/>
      <c r="S101" s="51">
        <f t="shared" si="14"/>
        <v>100</v>
      </c>
    </row>
    <row r="102" spans="1:19" x14ac:dyDescent="0.2">
      <c r="A102" s="289" t="str">
        <f t="shared" si="15"/>
        <v>10|10</v>
      </c>
      <c r="B102" s="290" t="s">
        <v>158</v>
      </c>
      <c r="C102" s="285" t="s">
        <v>151</v>
      </c>
      <c r="D102" s="286"/>
      <c r="E102" s="292">
        <v>10</v>
      </c>
      <c r="F102" s="292">
        <v>15</v>
      </c>
      <c r="G102" s="292">
        <v>15</v>
      </c>
      <c r="H102" s="292">
        <v>15</v>
      </c>
      <c r="I102" s="292">
        <v>15</v>
      </c>
      <c r="J102" s="291">
        <v>15</v>
      </c>
      <c r="K102" s="291">
        <v>10</v>
      </c>
      <c r="L102" s="291">
        <v>5</v>
      </c>
      <c r="M102" s="291"/>
      <c r="N102" s="291"/>
      <c r="O102" s="291"/>
      <c r="P102" s="291"/>
      <c r="S102" s="51">
        <f t="shared" si="14"/>
        <v>100</v>
      </c>
    </row>
    <row r="103" spans="1:19" x14ac:dyDescent="0.2">
      <c r="A103" s="289" t="str">
        <f t="shared" si="15"/>
        <v>10|11</v>
      </c>
      <c r="B103" s="290" t="s">
        <v>164</v>
      </c>
      <c r="C103" s="285" t="s">
        <v>176</v>
      </c>
      <c r="D103" s="286"/>
      <c r="E103" s="292">
        <v>2</v>
      </c>
      <c r="F103" s="292">
        <v>2</v>
      </c>
      <c r="G103" s="292">
        <v>14</v>
      </c>
      <c r="H103" s="292">
        <v>14</v>
      </c>
      <c r="I103" s="292">
        <v>15</v>
      </c>
      <c r="J103" s="291">
        <v>15</v>
      </c>
      <c r="K103" s="291">
        <v>15</v>
      </c>
      <c r="L103" s="291">
        <v>15</v>
      </c>
      <c r="M103" s="291">
        <v>5</v>
      </c>
      <c r="N103" s="291">
        <v>3</v>
      </c>
      <c r="O103" s="291"/>
      <c r="P103" s="291"/>
      <c r="S103" s="51">
        <f t="shared" si="14"/>
        <v>100</v>
      </c>
    </row>
    <row r="104" spans="1:19" ht="5.45" customHeight="1" x14ac:dyDescent="0.2"/>
    <row r="105" spans="1:19" ht="13.5" thickBot="1" x14ac:dyDescent="0.25">
      <c r="A105" s="293" t="s">
        <v>35</v>
      </c>
      <c r="B105" s="294">
        <v>11</v>
      </c>
      <c r="C105" s="295"/>
      <c r="D105" s="296"/>
      <c r="E105" s="282"/>
      <c r="F105" s="282"/>
      <c r="G105" s="282"/>
      <c r="H105" s="282"/>
      <c r="I105" s="282"/>
      <c r="J105" s="282"/>
      <c r="K105" s="282"/>
      <c r="L105" s="282"/>
      <c r="M105" s="282"/>
      <c r="N105" s="282"/>
      <c r="O105" s="282"/>
      <c r="P105" s="282"/>
    </row>
    <row r="106" spans="1:19" ht="13.5" thickTop="1" x14ac:dyDescent="0.2">
      <c r="A106" s="297" t="str">
        <f>CONCATENATE($B$105,"|",B106)</f>
        <v>11|1</v>
      </c>
      <c r="B106" s="284">
        <v>1</v>
      </c>
      <c r="C106" s="285" t="s">
        <v>152</v>
      </c>
      <c r="D106" s="286">
        <v>1</v>
      </c>
      <c r="E106" s="287">
        <v>10</v>
      </c>
      <c r="F106" s="287">
        <v>20</v>
      </c>
      <c r="G106" s="287">
        <v>20</v>
      </c>
      <c r="H106" s="287">
        <v>20</v>
      </c>
      <c r="I106" s="287">
        <v>10</v>
      </c>
      <c r="J106" s="288">
        <v>10</v>
      </c>
      <c r="K106" s="288">
        <v>10</v>
      </c>
      <c r="L106" s="288"/>
      <c r="M106" s="288"/>
      <c r="N106" s="288"/>
      <c r="O106" s="288"/>
      <c r="P106" s="288"/>
      <c r="S106" s="51">
        <f>SUM(E106:P106)</f>
        <v>100</v>
      </c>
    </row>
    <row r="107" spans="1:19" x14ac:dyDescent="0.2">
      <c r="A107" s="289" t="str">
        <f>CONCATENATE($B$105,"|",B107)</f>
        <v>11|2</v>
      </c>
      <c r="B107" s="290" t="s">
        <v>89</v>
      </c>
      <c r="C107" s="285" t="s">
        <v>148</v>
      </c>
      <c r="D107" s="286">
        <v>2</v>
      </c>
      <c r="E107" s="287">
        <v>5</v>
      </c>
      <c r="F107" s="287">
        <v>10</v>
      </c>
      <c r="G107" s="287">
        <v>10</v>
      </c>
      <c r="H107" s="287">
        <v>15</v>
      </c>
      <c r="I107" s="287">
        <v>15</v>
      </c>
      <c r="J107" s="291">
        <v>15</v>
      </c>
      <c r="K107" s="291">
        <v>15</v>
      </c>
      <c r="L107" s="291">
        <v>10</v>
      </c>
      <c r="M107" s="291">
        <v>5</v>
      </c>
      <c r="N107" s="291"/>
      <c r="O107" s="291"/>
      <c r="P107" s="291"/>
      <c r="S107" s="51">
        <f t="shared" ref="S107:S116" si="16">SUM(E107:P107)</f>
        <v>100</v>
      </c>
    </row>
    <row r="108" spans="1:19" x14ac:dyDescent="0.2">
      <c r="A108" s="289" t="str">
        <f t="shared" ref="A108:A116" si="17">CONCATENATE($B$105,"|",B108)</f>
        <v>11|3</v>
      </c>
      <c r="B108" s="290" t="s">
        <v>93</v>
      </c>
      <c r="C108" s="285" t="s">
        <v>153</v>
      </c>
      <c r="D108" s="286">
        <v>3</v>
      </c>
      <c r="E108" s="292"/>
      <c r="F108" s="292">
        <v>5</v>
      </c>
      <c r="G108" s="292">
        <v>10</v>
      </c>
      <c r="H108" s="292">
        <v>10</v>
      </c>
      <c r="I108" s="292">
        <v>15</v>
      </c>
      <c r="J108" s="291">
        <v>15</v>
      </c>
      <c r="K108" s="291">
        <v>15</v>
      </c>
      <c r="L108" s="291">
        <v>10</v>
      </c>
      <c r="M108" s="291">
        <v>10</v>
      </c>
      <c r="N108" s="291">
        <v>10</v>
      </c>
      <c r="O108" s="291"/>
      <c r="P108" s="291"/>
      <c r="S108" s="51">
        <f t="shared" si="16"/>
        <v>100</v>
      </c>
    </row>
    <row r="109" spans="1:19" x14ac:dyDescent="0.2">
      <c r="A109" s="289" t="str">
        <f t="shared" si="17"/>
        <v>11|4</v>
      </c>
      <c r="B109" s="290" t="s">
        <v>96</v>
      </c>
      <c r="C109" s="285" t="s">
        <v>149</v>
      </c>
      <c r="D109" s="286">
        <v>4</v>
      </c>
      <c r="E109" s="292"/>
      <c r="F109" s="292"/>
      <c r="G109" s="292">
        <v>5</v>
      </c>
      <c r="H109" s="292">
        <v>10</v>
      </c>
      <c r="I109" s="292">
        <v>10</v>
      </c>
      <c r="J109" s="291">
        <v>15</v>
      </c>
      <c r="K109" s="291">
        <v>15</v>
      </c>
      <c r="L109" s="291">
        <v>15</v>
      </c>
      <c r="M109" s="291">
        <v>10</v>
      </c>
      <c r="N109" s="291">
        <v>10</v>
      </c>
      <c r="O109" s="291">
        <v>10</v>
      </c>
      <c r="P109" s="291"/>
      <c r="S109" s="51">
        <f t="shared" si="16"/>
        <v>100</v>
      </c>
    </row>
    <row r="110" spans="1:19" x14ac:dyDescent="0.2">
      <c r="A110" s="289" t="str">
        <f t="shared" si="17"/>
        <v>11|5</v>
      </c>
      <c r="B110" s="290" t="s">
        <v>88</v>
      </c>
      <c r="C110" s="285" t="s">
        <v>150</v>
      </c>
      <c r="D110" s="286">
        <v>5</v>
      </c>
      <c r="E110" s="292"/>
      <c r="F110" s="292"/>
      <c r="G110" s="292">
        <v>10</v>
      </c>
      <c r="H110" s="292">
        <v>10</v>
      </c>
      <c r="I110" s="292">
        <v>10</v>
      </c>
      <c r="J110" s="291">
        <v>15</v>
      </c>
      <c r="K110" s="291">
        <v>15</v>
      </c>
      <c r="L110" s="291">
        <v>15</v>
      </c>
      <c r="M110" s="291">
        <v>15</v>
      </c>
      <c r="N110" s="291">
        <v>10</v>
      </c>
      <c r="O110" s="291"/>
      <c r="P110" s="291"/>
      <c r="S110" s="51">
        <f t="shared" si="16"/>
        <v>100</v>
      </c>
    </row>
    <row r="111" spans="1:19" x14ac:dyDescent="0.2">
      <c r="A111" s="289" t="str">
        <f t="shared" si="17"/>
        <v>11|6</v>
      </c>
      <c r="B111" s="290" t="s">
        <v>97</v>
      </c>
      <c r="C111" s="285" t="s">
        <v>429</v>
      </c>
      <c r="D111" s="286">
        <v>3</v>
      </c>
      <c r="E111" s="292"/>
      <c r="F111" s="292"/>
      <c r="G111" s="292"/>
      <c r="H111" s="292">
        <v>5</v>
      </c>
      <c r="I111" s="292">
        <v>10</v>
      </c>
      <c r="J111" s="292">
        <v>15</v>
      </c>
      <c r="K111" s="291">
        <v>15</v>
      </c>
      <c r="L111" s="291">
        <v>15</v>
      </c>
      <c r="M111" s="291">
        <v>15</v>
      </c>
      <c r="N111" s="291">
        <v>15</v>
      </c>
      <c r="O111" s="291">
        <v>10</v>
      </c>
      <c r="P111" s="291"/>
      <c r="S111" s="51">
        <f t="shared" si="16"/>
        <v>100</v>
      </c>
    </row>
    <row r="112" spans="1:19" x14ac:dyDescent="0.2">
      <c r="A112" s="289" t="str">
        <f t="shared" si="17"/>
        <v>11|7</v>
      </c>
      <c r="B112" s="290" t="s">
        <v>147</v>
      </c>
      <c r="C112" s="285" t="s">
        <v>154</v>
      </c>
      <c r="D112" s="286">
        <v>5</v>
      </c>
      <c r="E112" s="292"/>
      <c r="F112" s="292"/>
      <c r="G112" s="292"/>
      <c r="H112" s="292">
        <v>10</v>
      </c>
      <c r="I112" s="292">
        <v>10</v>
      </c>
      <c r="J112" s="291">
        <v>15</v>
      </c>
      <c r="K112" s="291">
        <v>20</v>
      </c>
      <c r="L112" s="291">
        <v>15</v>
      </c>
      <c r="M112" s="291">
        <v>10</v>
      </c>
      <c r="N112" s="291">
        <v>10</v>
      </c>
      <c r="O112" s="291">
        <v>10</v>
      </c>
      <c r="P112" s="291"/>
      <c r="S112" s="51">
        <f t="shared" si="16"/>
        <v>100</v>
      </c>
    </row>
    <row r="113" spans="1:19" x14ac:dyDescent="0.2">
      <c r="A113" s="289" t="str">
        <f t="shared" si="17"/>
        <v>11|8</v>
      </c>
      <c r="B113" s="290" t="s">
        <v>108</v>
      </c>
      <c r="C113" s="285" t="s">
        <v>155</v>
      </c>
      <c r="D113" s="286">
        <v>6</v>
      </c>
      <c r="E113" s="292"/>
      <c r="F113" s="292"/>
      <c r="G113" s="292"/>
      <c r="H113" s="292">
        <v>10</v>
      </c>
      <c r="I113" s="292">
        <v>10</v>
      </c>
      <c r="J113" s="291">
        <v>20</v>
      </c>
      <c r="K113" s="291">
        <v>20</v>
      </c>
      <c r="L113" s="291">
        <v>10</v>
      </c>
      <c r="M113" s="291">
        <v>10</v>
      </c>
      <c r="N113" s="291">
        <v>10</v>
      </c>
      <c r="O113" s="291">
        <v>10</v>
      </c>
      <c r="P113" s="291"/>
      <c r="S113" s="51">
        <f t="shared" si="16"/>
        <v>100</v>
      </c>
    </row>
    <row r="114" spans="1:19" x14ac:dyDescent="0.2">
      <c r="A114" s="289" t="str">
        <f t="shared" si="17"/>
        <v>11|9</v>
      </c>
      <c r="B114" s="290" t="s">
        <v>156</v>
      </c>
      <c r="C114" s="285" t="s">
        <v>157</v>
      </c>
      <c r="D114" s="286">
        <v>6</v>
      </c>
      <c r="E114" s="292">
        <v>5</v>
      </c>
      <c r="F114" s="292">
        <v>5</v>
      </c>
      <c r="G114" s="292">
        <v>10</v>
      </c>
      <c r="H114" s="292">
        <v>10</v>
      </c>
      <c r="I114" s="292">
        <v>10</v>
      </c>
      <c r="J114" s="291">
        <v>10</v>
      </c>
      <c r="K114" s="291">
        <v>10</v>
      </c>
      <c r="L114" s="291">
        <v>10</v>
      </c>
      <c r="M114" s="291">
        <v>10</v>
      </c>
      <c r="N114" s="291">
        <v>10</v>
      </c>
      <c r="O114" s="291">
        <v>10</v>
      </c>
      <c r="P114" s="291"/>
      <c r="S114" s="51">
        <f t="shared" si="16"/>
        <v>100</v>
      </c>
    </row>
    <row r="115" spans="1:19" x14ac:dyDescent="0.2">
      <c r="A115" s="289" t="str">
        <f t="shared" si="17"/>
        <v>11|10</v>
      </c>
      <c r="B115" s="290" t="s">
        <v>158</v>
      </c>
      <c r="C115" s="285" t="s">
        <v>151</v>
      </c>
      <c r="D115" s="286"/>
      <c r="E115" s="292">
        <v>10</v>
      </c>
      <c r="F115" s="292">
        <v>10</v>
      </c>
      <c r="G115" s="292">
        <v>15</v>
      </c>
      <c r="H115" s="292">
        <v>15</v>
      </c>
      <c r="I115" s="292">
        <v>15</v>
      </c>
      <c r="J115" s="291">
        <v>10</v>
      </c>
      <c r="K115" s="291">
        <v>10</v>
      </c>
      <c r="L115" s="291">
        <v>10</v>
      </c>
      <c r="M115" s="291">
        <v>5</v>
      </c>
      <c r="N115" s="291"/>
      <c r="O115" s="291"/>
      <c r="P115" s="291"/>
      <c r="S115" s="51">
        <f t="shared" si="16"/>
        <v>100</v>
      </c>
    </row>
    <row r="116" spans="1:19" x14ac:dyDescent="0.2">
      <c r="A116" s="289" t="str">
        <f t="shared" si="17"/>
        <v>11|11</v>
      </c>
      <c r="B116" s="290" t="s">
        <v>164</v>
      </c>
      <c r="C116" s="285" t="s">
        <v>176</v>
      </c>
      <c r="D116" s="286"/>
      <c r="E116" s="292">
        <v>1</v>
      </c>
      <c r="F116" s="292">
        <v>1</v>
      </c>
      <c r="G116" s="292">
        <v>10</v>
      </c>
      <c r="H116" s="292">
        <v>15</v>
      </c>
      <c r="I116" s="292">
        <v>15</v>
      </c>
      <c r="J116" s="291">
        <v>15</v>
      </c>
      <c r="K116" s="291">
        <v>15</v>
      </c>
      <c r="L116" s="291">
        <v>15</v>
      </c>
      <c r="M116" s="291">
        <v>5</v>
      </c>
      <c r="N116" s="291">
        <v>3</v>
      </c>
      <c r="O116" s="291">
        <v>5</v>
      </c>
      <c r="P116" s="291"/>
      <c r="S116" s="51">
        <f t="shared" si="16"/>
        <v>100</v>
      </c>
    </row>
    <row r="117" spans="1:19" ht="5.45" customHeight="1" x14ac:dyDescent="0.2"/>
    <row r="118" spans="1:19" ht="13.5" thickBot="1" x14ac:dyDescent="0.25">
      <c r="A118" s="293" t="s">
        <v>35</v>
      </c>
      <c r="B118" s="294">
        <v>12</v>
      </c>
      <c r="C118" s="295"/>
      <c r="D118" s="296"/>
      <c r="E118" s="282"/>
      <c r="F118" s="282"/>
      <c r="G118" s="282"/>
      <c r="H118" s="282"/>
      <c r="I118" s="282"/>
      <c r="J118" s="282"/>
      <c r="K118" s="282"/>
      <c r="L118" s="282"/>
      <c r="M118" s="282"/>
      <c r="N118" s="282"/>
      <c r="O118" s="282"/>
      <c r="P118" s="282"/>
    </row>
    <row r="119" spans="1:19" ht="13.5" thickTop="1" x14ac:dyDescent="0.2">
      <c r="A119" s="297" t="str">
        <f>CONCATENATE($B$118,"|",B119)</f>
        <v>12|1</v>
      </c>
      <c r="B119" s="284">
        <v>1</v>
      </c>
      <c r="C119" s="285" t="s">
        <v>152</v>
      </c>
      <c r="D119" s="286">
        <v>1</v>
      </c>
      <c r="E119" s="287">
        <v>10</v>
      </c>
      <c r="F119" s="287">
        <v>20</v>
      </c>
      <c r="G119" s="287">
        <v>20</v>
      </c>
      <c r="H119" s="287">
        <v>20</v>
      </c>
      <c r="I119" s="287">
        <v>10</v>
      </c>
      <c r="J119" s="288">
        <v>10</v>
      </c>
      <c r="K119" s="288">
        <v>10</v>
      </c>
      <c r="L119" s="288"/>
      <c r="M119" s="288"/>
      <c r="N119" s="288"/>
      <c r="O119" s="288"/>
      <c r="P119" s="288"/>
      <c r="S119" s="51">
        <f>SUM(E119:P119)</f>
        <v>100</v>
      </c>
    </row>
    <row r="120" spans="1:19" x14ac:dyDescent="0.2">
      <c r="A120" s="289" t="str">
        <f>CONCATENATE($B$118,"|",B120)</f>
        <v>12|2</v>
      </c>
      <c r="B120" s="290" t="s">
        <v>89</v>
      </c>
      <c r="C120" s="285" t="s">
        <v>148</v>
      </c>
      <c r="D120" s="286">
        <v>2</v>
      </c>
      <c r="E120" s="287">
        <v>5</v>
      </c>
      <c r="F120" s="287">
        <v>10</v>
      </c>
      <c r="G120" s="287">
        <v>10</v>
      </c>
      <c r="H120" s="287">
        <v>15</v>
      </c>
      <c r="I120" s="287">
        <v>15</v>
      </c>
      <c r="J120" s="291">
        <v>15</v>
      </c>
      <c r="K120" s="291">
        <v>10</v>
      </c>
      <c r="L120" s="291">
        <v>10</v>
      </c>
      <c r="M120" s="291">
        <v>10</v>
      </c>
      <c r="N120" s="291"/>
      <c r="O120" s="291"/>
      <c r="P120" s="291"/>
      <c r="S120" s="51">
        <f t="shared" ref="S120:S129" si="18">SUM(E120:P120)</f>
        <v>100</v>
      </c>
    </row>
    <row r="121" spans="1:19" x14ac:dyDescent="0.2">
      <c r="A121" s="289" t="str">
        <f t="shared" ref="A121:A129" si="19">CONCATENATE($B$118,"|",B121)</f>
        <v>12|3</v>
      </c>
      <c r="B121" s="290" t="s">
        <v>93</v>
      </c>
      <c r="C121" s="285" t="s">
        <v>153</v>
      </c>
      <c r="D121" s="286">
        <v>3</v>
      </c>
      <c r="E121" s="292"/>
      <c r="F121" s="292">
        <v>5</v>
      </c>
      <c r="G121" s="292">
        <v>10</v>
      </c>
      <c r="H121" s="292">
        <v>10</v>
      </c>
      <c r="I121" s="292">
        <v>10</v>
      </c>
      <c r="J121" s="291">
        <v>15</v>
      </c>
      <c r="K121" s="291">
        <v>15</v>
      </c>
      <c r="L121" s="291">
        <v>10</v>
      </c>
      <c r="M121" s="291">
        <v>10</v>
      </c>
      <c r="N121" s="291">
        <v>10</v>
      </c>
      <c r="O121" s="291">
        <v>5</v>
      </c>
      <c r="P121" s="291"/>
      <c r="S121" s="51">
        <f t="shared" si="18"/>
        <v>100</v>
      </c>
    </row>
    <row r="122" spans="1:19" x14ac:dyDescent="0.2">
      <c r="A122" s="289" t="str">
        <f t="shared" si="19"/>
        <v>12|4</v>
      </c>
      <c r="B122" s="290" t="s">
        <v>96</v>
      </c>
      <c r="C122" s="285" t="s">
        <v>149</v>
      </c>
      <c r="D122" s="286">
        <v>4</v>
      </c>
      <c r="E122" s="292"/>
      <c r="F122" s="292"/>
      <c r="G122" s="292">
        <v>5</v>
      </c>
      <c r="H122" s="292">
        <v>10</v>
      </c>
      <c r="I122" s="292">
        <v>10</v>
      </c>
      <c r="J122" s="291">
        <v>10</v>
      </c>
      <c r="K122" s="291">
        <v>10</v>
      </c>
      <c r="L122" s="291">
        <v>15</v>
      </c>
      <c r="M122" s="291">
        <v>10</v>
      </c>
      <c r="N122" s="291">
        <v>15</v>
      </c>
      <c r="O122" s="291">
        <v>10</v>
      </c>
      <c r="P122" s="291">
        <v>5</v>
      </c>
      <c r="S122" s="51">
        <f t="shared" si="18"/>
        <v>100</v>
      </c>
    </row>
    <row r="123" spans="1:19" x14ac:dyDescent="0.2">
      <c r="A123" s="289" t="str">
        <f t="shared" si="19"/>
        <v>12|5</v>
      </c>
      <c r="B123" s="290" t="s">
        <v>88</v>
      </c>
      <c r="C123" s="285" t="s">
        <v>150</v>
      </c>
      <c r="D123" s="286">
        <v>5</v>
      </c>
      <c r="E123" s="292"/>
      <c r="F123" s="292"/>
      <c r="G123" s="292">
        <v>10</v>
      </c>
      <c r="H123" s="292">
        <v>10</v>
      </c>
      <c r="I123" s="292">
        <v>10</v>
      </c>
      <c r="J123" s="291">
        <v>10</v>
      </c>
      <c r="K123" s="291">
        <v>10</v>
      </c>
      <c r="L123" s="291">
        <v>15</v>
      </c>
      <c r="M123" s="291">
        <v>15</v>
      </c>
      <c r="N123" s="291">
        <v>10</v>
      </c>
      <c r="O123" s="291">
        <v>10</v>
      </c>
      <c r="P123" s="291"/>
      <c r="S123" s="51">
        <f t="shared" si="18"/>
        <v>100</v>
      </c>
    </row>
    <row r="124" spans="1:19" x14ac:dyDescent="0.2">
      <c r="A124" s="289" t="str">
        <f t="shared" si="19"/>
        <v>12|6</v>
      </c>
      <c r="B124" s="290" t="s">
        <v>97</v>
      </c>
      <c r="C124" s="285" t="s">
        <v>429</v>
      </c>
      <c r="D124" s="286">
        <v>3</v>
      </c>
      <c r="E124" s="292"/>
      <c r="F124" s="292"/>
      <c r="G124" s="292"/>
      <c r="H124" s="292">
        <v>5</v>
      </c>
      <c r="I124" s="292">
        <v>10</v>
      </c>
      <c r="J124" s="292">
        <v>10</v>
      </c>
      <c r="K124" s="291">
        <v>10</v>
      </c>
      <c r="L124" s="291">
        <v>15</v>
      </c>
      <c r="M124" s="291">
        <v>15</v>
      </c>
      <c r="N124" s="291">
        <v>15</v>
      </c>
      <c r="O124" s="291">
        <v>10</v>
      </c>
      <c r="P124" s="291">
        <v>10</v>
      </c>
      <c r="S124" s="51">
        <f t="shared" si="18"/>
        <v>100</v>
      </c>
    </row>
    <row r="125" spans="1:19" x14ac:dyDescent="0.2">
      <c r="A125" s="289" t="str">
        <f t="shared" si="19"/>
        <v>12|7</v>
      </c>
      <c r="B125" s="290" t="s">
        <v>147</v>
      </c>
      <c r="C125" s="285" t="s">
        <v>154</v>
      </c>
      <c r="D125" s="286">
        <v>5</v>
      </c>
      <c r="E125" s="292"/>
      <c r="F125" s="292"/>
      <c r="G125" s="292"/>
      <c r="H125" s="292">
        <v>5</v>
      </c>
      <c r="I125" s="292">
        <v>10</v>
      </c>
      <c r="J125" s="291">
        <v>10</v>
      </c>
      <c r="K125" s="291">
        <v>15</v>
      </c>
      <c r="L125" s="291">
        <v>15</v>
      </c>
      <c r="M125" s="291">
        <v>15</v>
      </c>
      <c r="N125" s="291">
        <v>10</v>
      </c>
      <c r="O125" s="291">
        <v>10</v>
      </c>
      <c r="P125" s="291">
        <v>10</v>
      </c>
      <c r="S125" s="51">
        <f t="shared" si="18"/>
        <v>100</v>
      </c>
    </row>
    <row r="126" spans="1:19" x14ac:dyDescent="0.2">
      <c r="A126" s="289" t="str">
        <f t="shared" si="19"/>
        <v>12|8</v>
      </c>
      <c r="B126" s="290" t="s">
        <v>108</v>
      </c>
      <c r="C126" s="285" t="s">
        <v>155</v>
      </c>
      <c r="D126" s="286">
        <v>6</v>
      </c>
      <c r="E126" s="292"/>
      <c r="F126" s="292"/>
      <c r="G126" s="292"/>
      <c r="H126" s="292">
        <v>10</v>
      </c>
      <c r="I126" s="292">
        <v>10</v>
      </c>
      <c r="J126" s="291">
        <v>10</v>
      </c>
      <c r="K126" s="291">
        <v>20</v>
      </c>
      <c r="L126" s="291">
        <v>10</v>
      </c>
      <c r="M126" s="291">
        <v>10</v>
      </c>
      <c r="N126" s="291">
        <v>10</v>
      </c>
      <c r="O126" s="291">
        <v>10</v>
      </c>
      <c r="P126" s="291">
        <v>10</v>
      </c>
      <c r="S126" s="51">
        <f t="shared" si="18"/>
        <v>100</v>
      </c>
    </row>
    <row r="127" spans="1:19" x14ac:dyDescent="0.2">
      <c r="A127" s="289" t="str">
        <f t="shared" si="19"/>
        <v>12|9</v>
      </c>
      <c r="B127" s="290" t="s">
        <v>156</v>
      </c>
      <c r="C127" s="285" t="s">
        <v>157</v>
      </c>
      <c r="D127" s="286">
        <v>6</v>
      </c>
      <c r="E127" s="292">
        <v>5</v>
      </c>
      <c r="F127" s="292">
        <v>5</v>
      </c>
      <c r="G127" s="292">
        <v>5</v>
      </c>
      <c r="H127" s="292">
        <v>5</v>
      </c>
      <c r="I127" s="292">
        <v>10</v>
      </c>
      <c r="J127" s="291">
        <v>10</v>
      </c>
      <c r="K127" s="291">
        <v>10</v>
      </c>
      <c r="L127" s="291">
        <v>10</v>
      </c>
      <c r="M127" s="291">
        <v>10</v>
      </c>
      <c r="N127" s="291">
        <v>10</v>
      </c>
      <c r="O127" s="291">
        <v>10</v>
      </c>
      <c r="P127" s="291">
        <v>10</v>
      </c>
      <c r="S127" s="51">
        <f t="shared" si="18"/>
        <v>100</v>
      </c>
    </row>
    <row r="128" spans="1:19" x14ac:dyDescent="0.2">
      <c r="A128" s="289" t="str">
        <f t="shared" si="19"/>
        <v>12|10</v>
      </c>
      <c r="B128" s="290" t="s">
        <v>158</v>
      </c>
      <c r="C128" s="285" t="s">
        <v>151</v>
      </c>
      <c r="D128" s="286"/>
      <c r="E128" s="292">
        <v>10</v>
      </c>
      <c r="F128" s="292">
        <v>15</v>
      </c>
      <c r="G128" s="292">
        <v>10</v>
      </c>
      <c r="H128" s="292">
        <v>10</v>
      </c>
      <c r="I128" s="292">
        <v>10</v>
      </c>
      <c r="J128" s="291">
        <v>10</v>
      </c>
      <c r="K128" s="291">
        <v>10</v>
      </c>
      <c r="L128" s="291">
        <v>10</v>
      </c>
      <c r="M128" s="291">
        <v>10</v>
      </c>
      <c r="N128" s="291">
        <v>5</v>
      </c>
      <c r="O128" s="291"/>
      <c r="P128" s="291"/>
      <c r="S128" s="51">
        <f t="shared" si="18"/>
        <v>100</v>
      </c>
    </row>
    <row r="129" spans="1:19" x14ac:dyDescent="0.2">
      <c r="A129" s="289" t="str">
        <f t="shared" si="19"/>
        <v>12|11</v>
      </c>
      <c r="B129" s="290" t="s">
        <v>164</v>
      </c>
      <c r="C129" s="285" t="s">
        <v>176</v>
      </c>
      <c r="D129" s="286"/>
      <c r="E129" s="292">
        <v>1</v>
      </c>
      <c r="F129" s="292">
        <v>1</v>
      </c>
      <c r="G129" s="292">
        <v>10</v>
      </c>
      <c r="H129" s="292">
        <v>10</v>
      </c>
      <c r="I129" s="292">
        <v>15</v>
      </c>
      <c r="J129" s="291">
        <v>15</v>
      </c>
      <c r="K129" s="291">
        <v>15</v>
      </c>
      <c r="L129" s="291">
        <v>15</v>
      </c>
      <c r="M129" s="291">
        <v>5</v>
      </c>
      <c r="N129" s="291">
        <v>3</v>
      </c>
      <c r="O129" s="291">
        <v>5</v>
      </c>
      <c r="P129" s="291">
        <v>5</v>
      </c>
      <c r="S129" s="51">
        <f t="shared" si="18"/>
        <v>100</v>
      </c>
    </row>
    <row r="131" spans="1:19" x14ac:dyDescent="0.2">
      <c r="S131" s="51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5041-351E-4561-9FFE-07827FA3BE79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51" customWidth="1"/>
    <col min="2" max="2" width="13.1640625" style="51" customWidth="1"/>
    <col min="3" max="3" width="38" style="51" customWidth="1"/>
    <col min="4" max="4" width="3.83203125" style="51" customWidth="1"/>
    <col min="5" max="16" width="10" style="51" customWidth="1"/>
    <col min="17" max="17" width="10.6640625" style="51" customWidth="1"/>
    <col min="18" max="255" width="10.6640625" style="51"/>
    <col min="256" max="256" width="13.1640625" style="51" customWidth="1"/>
    <col min="257" max="257" width="79" style="51" customWidth="1"/>
    <col min="258" max="258" width="3.83203125" style="51" customWidth="1"/>
    <col min="259" max="271" width="12.5" style="51" customWidth="1"/>
    <col min="272" max="272" width="8.5" style="51" customWidth="1"/>
    <col min="273" max="511" width="10.6640625" style="51"/>
    <col min="512" max="512" width="13.1640625" style="51" customWidth="1"/>
    <col min="513" max="513" width="79" style="51" customWidth="1"/>
    <col min="514" max="514" width="3.83203125" style="51" customWidth="1"/>
    <col min="515" max="527" width="12.5" style="51" customWidth="1"/>
    <col min="528" max="528" width="8.5" style="51" customWidth="1"/>
    <col min="529" max="767" width="10.6640625" style="51"/>
    <col min="768" max="768" width="13.1640625" style="51" customWidth="1"/>
    <col min="769" max="769" width="79" style="51" customWidth="1"/>
    <col min="770" max="770" width="3.83203125" style="51" customWidth="1"/>
    <col min="771" max="783" width="12.5" style="51" customWidth="1"/>
    <col min="784" max="784" width="8.5" style="51" customWidth="1"/>
    <col min="785" max="1023" width="10.6640625" style="51"/>
    <col min="1024" max="1024" width="13.1640625" style="51" customWidth="1"/>
    <col min="1025" max="1025" width="79" style="51" customWidth="1"/>
    <col min="1026" max="1026" width="3.83203125" style="51" customWidth="1"/>
    <col min="1027" max="1039" width="12.5" style="51" customWidth="1"/>
    <col min="1040" max="1040" width="8.5" style="51" customWidth="1"/>
    <col min="1041" max="1279" width="10.6640625" style="51"/>
    <col min="1280" max="1280" width="13.1640625" style="51" customWidth="1"/>
    <col min="1281" max="1281" width="79" style="51" customWidth="1"/>
    <col min="1282" max="1282" width="3.83203125" style="51" customWidth="1"/>
    <col min="1283" max="1295" width="12.5" style="51" customWidth="1"/>
    <col min="1296" max="1296" width="8.5" style="51" customWidth="1"/>
    <col min="1297" max="1535" width="10.6640625" style="51"/>
    <col min="1536" max="1536" width="13.1640625" style="51" customWidth="1"/>
    <col min="1537" max="1537" width="79" style="51" customWidth="1"/>
    <col min="1538" max="1538" width="3.83203125" style="51" customWidth="1"/>
    <col min="1539" max="1551" width="12.5" style="51" customWidth="1"/>
    <col min="1552" max="1552" width="8.5" style="51" customWidth="1"/>
    <col min="1553" max="1791" width="10.6640625" style="51"/>
    <col min="1792" max="1792" width="13.1640625" style="51" customWidth="1"/>
    <col min="1793" max="1793" width="79" style="51" customWidth="1"/>
    <col min="1794" max="1794" width="3.83203125" style="51" customWidth="1"/>
    <col min="1795" max="1807" width="12.5" style="51" customWidth="1"/>
    <col min="1808" max="1808" width="8.5" style="51" customWidth="1"/>
    <col min="1809" max="2047" width="10.6640625" style="51"/>
    <col min="2048" max="2048" width="13.1640625" style="51" customWidth="1"/>
    <col min="2049" max="2049" width="79" style="51" customWidth="1"/>
    <col min="2050" max="2050" width="3.83203125" style="51" customWidth="1"/>
    <col min="2051" max="2063" width="12.5" style="51" customWidth="1"/>
    <col min="2064" max="2064" width="8.5" style="51" customWidth="1"/>
    <col min="2065" max="2303" width="10.6640625" style="51"/>
    <col min="2304" max="2304" width="13.1640625" style="51" customWidth="1"/>
    <col min="2305" max="2305" width="79" style="51" customWidth="1"/>
    <col min="2306" max="2306" width="3.83203125" style="51" customWidth="1"/>
    <col min="2307" max="2319" width="12.5" style="51" customWidth="1"/>
    <col min="2320" max="2320" width="8.5" style="51" customWidth="1"/>
    <col min="2321" max="2559" width="10.6640625" style="51"/>
    <col min="2560" max="2560" width="13.1640625" style="51" customWidth="1"/>
    <col min="2561" max="2561" width="79" style="51" customWidth="1"/>
    <col min="2562" max="2562" width="3.83203125" style="51" customWidth="1"/>
    <col min="2563" max="2575" width="12.5" style="51" customWidth="1"/>
    <col min="2576" max="2576" width="8.5" style="51" customWidth="1"/>
    <col min="2577" max="2815" width="10.6640625" style="51"/>
    <col min="2816" max="2816" width="13.1640625" style="51" customWidth="1"/>
    <col min="2817" max="2817" width="79" style="51" customWidth="1"/>
    <col min="2818" max="2818" width="3.83203125" style="51" customWidth="1"/>
    <col min="2819" max="2831" width="12.5" style="51" customWidth="1"/>
    <col min="2832" max="2832" width="8.5" style="51" customWidth="1"/>
    <col min="2833" max="3071" width="10.6640625" style="51"/>
    <col min="3072" max="3072" width="13.1640625" style="51" customWidth="1"/>
    <col min="3073" max="3073" width="79" style="51" customWidth="1"/>
    <col min="3074" max="3074" width="3.83203125" style="51" customWidth="1"/>
    <col min="3075" max="3087" width="12.5" style="51" customWidth="1"/>
    <col min="3088" max="3088" width="8.5" style="51" customWidth="1"/>
    <col min="3089" max="3327" width="10.6640625" style="51"/>
    <col min="3328" max="3328" width="13.1640625" style="51" customWidth="1"/>
    <col min="3329" max="3329" width="79" style="51" customWidth="1"/>
    <col min="3330" max="3330" width="3.83203125" style="51" customWidth="1"/>
    <col min="3331" max="3343" width="12.5" style="51" customWidth="1"/>
    <col min="3344" max="3344" width="8.5" style="51" customWidth="1"/>
    <col min="3345" max="3583" width="10.6640625" style="51"/>
    <col min="3584" max="3584" width="13.1640625" style="51" customWidth="1"/>
    <col min="3585" max="3585" width="79" style="51" customWidth="1"/>
    <col min="3586" max="3586" width="3.83203125" style="51" customWidth="1"/>
    <col min="3587" max="3599" width="12.5" style="51" customWidth="1"/>
    <col min="3600" max="3600" width="8.5" style="51" customWidth="1"/>
    <col min="3601" max="3839" width="10.6640625" style="51"/>
    <col min="3840" max="3840" width="13.1640625" style="51" customWidth="1"/>
    <col min="3841" max="3841" width="79" style="51" customWidth="1"/>
    <col min="3842" max="3842" width="3.83203125" style="51" customWidth="1"/>
    <col min="3843" max="3855" width="12.5" style="51" customWidth="1"/>
    <col min="3856" max="3856" width="8.5" style="51" customWidth="1"/>
    <col min="3857" max="4095" width="10.6640625" style="51"/>
    <col min="4096" max="4096" width="13.1640625" style="51" customWidth="1"/>
    <col min="4097" max="4097" width="79" style="51" customWidth="1"/>
    <col min="4098" max="4098" width="3.83203125" style="51" customWidth="1"/>
    <col min="4099" max="4111" width="12.5" style="51" customWidth="1"/>
    <col min="4112" max="4112" width="8.5" style="51" customWidth="1"/>
    <col min="4113" max="4351" width="10.6640625" style="51"/>
    <col min="4352" max="4352" width="13.1640625" style="51" customWidth="1"/>
    <col min="4353" max="4353" width="79" style="51" customWidth="1"/>
    <col min="4354" max="4354" width="3.83203125" style="51" customWidth="1"/>
    <col min="4355" max="4367" width="12.5" style="51" customWidth="1"/>
    <col min="4368" max="4368" width="8.5" style="51" customWidth="1"/>
    <col min="4369" max="4607" width="10.6640625" style="51"/>
    <col min="4608" max="4608" width="13.1640625" style="51" customWidth="1"/>
    <col min="4609" max="4609" width="79" style="51" customWidth="1"/>
    <col min="4610" max="4610" width="3.83203125" style="51" customWidth="1"/>
    <col min="4611" max="4623" width="12.5" style="51" customWidth="1"/>
    <col min="4624" max="4624" width="8.5" style="51" customWidth="1"/>
    <col min="4625" max="4863" width="10.6640625" style="51"/>
    <col min="4864" max="4864" width="13.1640625" style="51" customWidth="1"/>
    <col min="4865" max="4865" width="79" style="51" customWidth="1"/>
    <col min="4866" max="4866" width="3.83203125" style="51" customWidth="1"/>
    <col min="4867" max="4879" width="12.5" style="51" customWidth="1"/>
    <col min="4880" max="4880" width="8.5" style="51" customWidth="1"/>
    <col min="4881" max="5119" width="10.6640625" style="51"/>
    <col min="5120" max="5120" width="13.1640625" style="51" customWidth="1"/>
    <col min="5121" max="5121" width="79" style="51" customWidth="1"/>
    <col min="5122" max="5122" width="3.83203125" style="51" customWidth="1"/>
    <col min="5123" max="5135" width="12.5" style="51" customWidth="1"/>
    <col min="5136" max="5136" width="8.5" style="51" customWidth="1"/>
    <col min="5137" max="5375" width="10.6640625" style="51"/>
    <col min="5376" max="5376" width="13.1640625" style="51" customWidth="1"/>
    <col min="5377" max="5377" width="79" style="51" customWidth="1"/>
    <col min="5378" max="5378" width="3.83203125" style="51" customWidth="1"/>
    <col min="5379" max="5391" width="12.5" style="51" customWidth="1"/>
    <col min="5392" max="5392" width="8.5" style="51" customWidth="1"/>
    <col min="5393" max="5631" width="10.6640625" style="51"/>
    <col min="5632" max="5632" width="13.1640625" style="51" customWidth="1"/>
    <col min="5633" max="5633" width="79" style="51" customWidth="1"/>
    <col min="5634" max="5634" width="3.83203125" style="51" customWidth="1"/>
    <col min="5635" max="5647" width="12.5" style="51" customWidth="1"/>
    <col min="5648" max="5648" width="8.5" style="51" customWidth="1"/>
    <col min="5649" max="5887" width="10.6640625" style="51"/>
    <col min="5888" max="5888" width="13.1640625" style="51" customWidth="1"/>
    <col min="5889" max="5889" width="79" style="51" customWidth="1"/>
    <col min="5890" max="5890" width="3.83203125" style="51" customWidth="1"/>
    <col min="5891" max="5903" width="12.5" style="51" customWidth="1"/>
    <col min="5904" max="5904" width="8.5" style="51" customWidth="1"/>
    <col min="5905" max="6143" width="10.6640625" style="51"/>
    <col min="6144" max="6144" width="13.1640625" style="51" customWidth="1"/>
    <col min="6145" max="6145" width="79" style="51" customWidth="1"/>
    <col min="6146" max="6146" width="3.83203125" style="51" customWidth="1"/>
    <col min="6147" max="6159" width="12.5" style="51" customWidth="1"/>
    <col min="6160" max="6160" width="8.5" style="51" customWidth="1"/>
    <col min="6161" max="6399" width="10.6640625" style="51"/>
    <col min="6400" max="6400" width="13.1640625" style="51" customWidth="1"/>
    <col min="6401" max="6401" width="79" style="51" customWidth="1"/>
    <col min="6402" max="6402" width="3.83203125" style="51" customWidth="1"/>
    <col min="6403" max="6415" width="12.5" style="51" customWidth="1"/>
    <col min="6416" max="6416" width="8.5" style="51" customWidth="1"/>
    <col min="6417" max="6655" width="10.6640625" style="51"/>
    <col min="6656" max="6656" width="13.1640625" style="51" customWidth="1"/>
    <col min="6657" max="6657" width="79" style="51" customWidth="1"/>
    <col min="6658" max="6658" width="3.83203125" style="51" customWidth="1"/>
    <col min="6659" max="6671" width="12.5" style="51" customWidth="1"/>
    <col min="6672" max="6672" width="8.5" style="51" customWidth="1"/>
    <col min="6673" max="6911" width="10.6640625" style="51"/>
    <col min="6912" max="6912" width="13.1640625" style="51" customWidth="1"/>
    <col min="6913" max="6913" width="79" style="51" customWidth="1"/>
    <col min="6914" max="6914" width="3.83203125" style="51" customWidth="1"/>
    <col min="6915" max="6927" width="12.5" style="51" customWidth="1"/>
    <col min="6928" max="6928" width="8.5" style="51" customWidth="1"/>
    <col min="6929" max="7167" width="10.6640625" style="51"/>
    <col min="7168" max="7168" width="13.1640625" style="51" customWidth="1"/>
    <col min="7169" max="7169" width="79" style="51" customWidth="1"/>
    <col min="7170" max="7170" width="3.83203125" style="51" customWidth="1"/>
    <col min="7171" max="7183" width="12.5" style="51" customWidth="1"/>
    <col min="7184" max="7184" width="8.5" style="51" customWidth="1"/>
    <col min="7185" max="7423" width="10.6640625" style="51"/>
    <col min="7424" max="7424" width="13.1640625" style="51" customWidth="1"/>
    <col min="7425" max="7425" width="79" style="51" customWidth="1"/>
    <col min="7426" max="7426" width="3.83203125" style="51" customWidth="1"/>
    <col min="7427" max="7439" width="12.5" style="51" customWidth="1"/>
    <col min="7440" max="7440" width="8.5" style="51" customWidth="1"/>
    <col min="7441" max="7679" width="10.6640625" style="51"/>
    <col min="7680" max="7680" width="13.1640625" style="51" customWidth="1"/>
    <col min="7681" max="7681" width="79" style="51" customWidth="1"/>
    <col min="7682" max="7682" width="3.83203125" style="51" customWidth="1"/>
    <col min="7683" max="7695" width="12.5" style="51" customWidth="1"/>
    <col min="7696" max="7696" width="8.5" style="51" customWidth="1"/>
    <col min="7697" max="7935" width="10.6640625" style="51"/>
    <col min="7936" max="7936" width="13.1640625" style="51" customWidth="1"/>
    <col min="7937" max="7937" width="79" style="51" customWidth="1"/>
    <col min="7938" max="7938" width="3.83203125" style="51" customWidth="1"/>
    <col min="7939" max="7951" width="12.5" style="51" customWidth="1"/>
    <col min="7952" max="7952" width="8.5" style="51" customWidth="1"/>
    <col min="7953" max="8191" width="10.6640625" style="51"/>
    <col min="8192" max="8192" width="13.1640625" style="51" customWidth="1"/>
    <col min="8193" max="8193" width="79" style="51" customWidth="1"/>
    <col min="8194" max="8194" width="3.83203125" style="51" customWidth="1"/>
    <col min="8195" max="8207" width="12.5" style="51" customWidth="1"/>
    <col min="8208" max="8208" width="8.5" style="51" customWidth="1"/>
    <col min="8209" max="8447" width="10.6640625" style="51"/>
    <col min="8448" max="8448" width="13.1640625" style="51" customWidth="1"/>
    <col min="8449" max="8449" width="79" style="51" customWidth="1"/>
    <col min="8450" max="8450" width="3.83203125" style="51" customWidth="1"/>
    <col min="8451" max="8463" width="12.5" style="51" customWidth="1"/>
    <col min="8464" max="8464" width="8.5" style="51" customWidth="1"/>
    <col min="8465" max="8703" width="10.6640625" style="51"/>
    <col min="8704" max="8704" width="13.1640625" style="51" customWidth="1"/>
    <col min="8705" max="8705" width="79" style="51" customWidth="1"/>
    <col min="8706" max="8706" width="3.83203125" style="51" customWidth="1"/>
    <col min="8707" max="8719" width="12.5" style="51" customWidth="1"/>
    <col min="8720" max="8720" width="8.5" style="51" customWidth="1"/>
    <col min="8721" max="8959" width="10.6640625" style="51"/>
    <col min="8960" max="8960" width="13.1640625" style="51" customWidth="1"/>
    <col min="8961" max="8961" width="79" style="51" customWidth="1"/>
    <col min="8962" max="8962" width="3.83203125" style="51" customWidth="1"/>
    <col min="8963" max="8975" width="12.5" style="51" customWidth="1"/>
    <col min="8976" max="8976" width="8.5" style="51" customWidth="1"/>
    <col min="8977" max="9215" width="10.6640625" style="51"/>
    <col min="9216" max="9216" width="13.1640625" style="51" customWidth="1"/>
    <col min="9217" max="9217" width="79" style="51" customWidth="1"/>
    <col min="9218" max="9218" width="3.83203125" style="51" customWidth="1"/>
    <col min="9219" max="9231" width="12.5" style="51" customWidth="1"/>
    <col min="9232" max="9232" width="8.5" style="51" customWidth="1"/>
    <col min="9233" max="9471" width="10.6640625" style="51"/>
    <col min="9472" max="9472" width="13.1640625" style="51" customWidth="1"/>
    <col min="9473" max="9473" width="79" style="51" customWidth="1"/>
    <col min="9474" max="9474" width="3.83203125" style="51" customWidth="1"/>
    <col min="9475" max="9487" width="12.5" style="51" customWidth="1"/>
    <col min="9488" max="9488" width="8.5" style="51" customWidth="1"/>
    <col min="9489" max="9727" width="10.6640625" style="51"/>
    <col min="9728" max="9728" width="13.1640625" style="51" customWidth="1"/>
    <col min="9729" max="9729" width="79" style="51" customWidth="1"/>
    <col min="9730" max="9730" width="3.83203125" style="51" customWidth="1"/>
    <col min="9731" max="9743" width="12.5" style="51" customWidth="1"/>
    <col min="9744" max="9744" width="8.5" style="51" customWidth="1"/>
    <col min="9745" max="9983" width="10.6640625" style="51"/>
    <col min="9984" max="9984" width="13.1640625" style="51" customWidth="1"/>
    <col min="9985" max="9985" width="79" style="51" customWidth="1"/>
    <col min="9986" max="9986" width="3.83203125" style="51" customWidth="1"/>
    <col min="9987" max="9999" width="12.5" style="51" customWidth="1"/>
    <col min="10000" max="10000" width="8.5" style="51" customWidth="1"/>
    <col min="10001" max="10239" width="10.6640625" style="51"/>
    <col min="10240" max="10240" width="13.1640625" style="51" customWidth="1"/>
    <col min="10241" max="10241" width="79" style="51" customWidth="1"/>
    <col min="10242" max="10242" width="3.83203125" style="51" customWidth="1"/>
    <col min="10243" max="10255" width="12.5" style="51" customWidth="1"/>
    <col min="10256" max="10256" width="8.5" style="51" customWidth="1"/>
    <col min="10257" max="10495" width="10.6640625" style="51"/>
    <col min="10496" max="10496" width="13.1640625" style="51" customWidth="1"/>
    <col min="10497" max="10497" width="79" style="51" customWidth="1"/>
    <col min="10498" max="10498" width="3.83203125" style="51" customWidth="1"/>
    <col min="10499" max="10511" width="12.5" style="51" customWidth="1"/>
    <col min="10512" max="10512" width="8.5" style="51" customWidth="1"/>
    <col min="10513" max="10751" width="10.6640625" style="51"/>
    <col min="10752" max="10752" width="13.1640625" style="51" customWidth="1"/>
    <col min="10753" max="10753" width="79" style="51" customWidth="1"/>
    <col min="10754" max="10754" width="3.83203125" style="51" customWidth="1"/>
    <col min="10755" max="10767" width="12.5" style="51" customWidth="1"/>
    <col min="10768" max="10768" width="8.5" style="51" customWidth="1"/>
    <col min="10769" max="11007" width="10.6640625" style="51"/>
    <col min="11008" max="11008" width="13.1640625" style="51" customWidth="1"/>
    <col min="11009" max="11009" width="79" style="51" customWidth="1"/>
    <col min="11010" max="11010" width="3.83203125" style="51" customWidth="1"/>
    <col min="11011" max="11023" width="12.5" style="51" customWidth="1"/>
    <col min="11024" max="11024" width="8.5" style="51" customWidth="1"/>
    <col min="11025" max="11263" width="10.6640625" style="51"/>
    <col min="11264" max="11264" width="13.1640625" style="51" customWidth="1"/>
    <col min="11265" max="11265" width="79" style="51" customWidth="1"/>
    <col min="11266" max="11266" width="3.83203125" style="51" customWidth="1"/>
    <col min="11267" max="11279" width="12.5" style="51" customWidth="1"/>
    <col min="11280" max="11280" width="8.5" style="51" customWidth="1"/>
    <col min="11281" max="11519" width="10.6640625" style="51"/>
    <col min="11520" max="11520" width="13.1640625" style="51" customWidth="1"/>
    <col min="11521" max="11521" width="79" style="51" customWidth="1"/>
    <col min="11522" max="11522" width="3.83203125" style="51" customWidth="1"/>
    <col min="11523" max="11535" width="12.5" style="51" customWidth="1"/>
    <col min="11536" max="11536" width="8.5" style="51" customWidth="1"/>
    <col min="11537" max="11775" width="10.6640625" style="51"/>
    <col min="11776" max="11776" width="13.1640625" style="51" customWidth="1"/>
    <col min="11777" max="11777" width="79" style="51" customWidth="1"/>
    <col min="11778" max="11778" width="3.83203125" style="51" customWidth="1"/>
    <col min="11779" max="11791" width="12.5" style="51" customWidth="1"/>
    <col min="11792" max="11792" width="8.5" style="51" customWidth="1"/>
    <col min="11793" max="12031" width="10.6640625" style="51"/>
    <col min="12032" max="12032" width="13.1640625" style="51" customWidth="1"/>
    <col min="12033" max="12033" width="79" style="51" customWidth="1"/>
    <col min="12034" max="12034" width="3.83203125" style="51" customWidth="1"/>
    <col min="12035" max="12047" width="12.5" style="51" customWidth="1"/>
    <col min="12048" max="12048" width="8.5" style="51" customWidth="1"/>
    <col min="12049" max="12287" width="10.6640625" style="51"/>
    <col min="12288" max="12288" width="13.1640625" style="51" customWidth="1"/>
    <col min="12289" max="12289" width="79" style="51" customWidth="1"/>
    <col min="12290" max="12290" width="3.83203125" style="51" customWidth="1"/>
    <col min="12291" max="12303" width="12.5" style="51" customWidth="1"/>
    <col min="12304" max="12304" width="8.5" style="51" customWidth="1"/>
    <col min="12305" max="12543" width="10.6640625" style="51"/>
    <col min="12544" max="12544" width="13.1640625" style="51" customWidth="1"/>
    <col min="12545" max="12545" width="79" style="51" customWidth="1"/>
    <col min="12546" max="12546" width="3.83203125" style="51" customWidth="1"/>
    <col min="12547" max="12559" width="12.5" style="51" customWidth="1"/>
    <col min="12560" max="12560" width="8.5" style="51" customWidth="1"/>
    <col min="12561" max="12799" width="10.6640625" style="51"/>
    <col min="12800" max="12800" width="13.1640625" style="51" customWidth="1"/>
    <col min="12801" max="12801" width="79" style="51" customWidth="1"/>
    <col min="12802" max="12802" width="3.83203125" style="51" customWidth="1"/>
    <col min="12803" max="12815" width="12.5" style="51" customWidth="1"/>
    <col min="12816" max="12816" width="8.5" style="51" customWidth="1"/>
    <col min="12817" max="13055" width="10.6640625" style="51"/>
    <col min="13056" max="13056" width="13.1640625" style="51" customWidth="1"/>
    <col min="13057" max="13057" width="79" style="51" customWidth="1"/>
    <col min="13058" max="13058" width="3.83203125" style="51" customWidth="1"/>
    <col min="13059" max="13071" width="12.5" style="51" customWidth="1"/>
    <col min="13072" max="13072" width="8.5" style="51" customWidth="1"/>
    <col min="13073" max="13311" width="10.6640625" style="51"/>
    <col min="13312" max="13312" width="13.1640625" style="51" customWidth="1"/>
    <col min="13313" max="13313" width="79" style="51" customWidth="1"/>
    <col min="13314" max="13314" width="3.83203125" style="51" customWidth="1"/>
    <col min="13315" max="13327" width="12.5" style="51" customWidth="1"/>
    <col min="13328" max="13328" width="8.5" style="51" customWidth="1"/>
    <col min="13329" max="13567" width="10.6640625" style="51"/>
    <col min="13568" max="13568" width="13.1640625" style="51" customWidth="1"/>
    <col min="13569" max="13569" width="79" style="51" customWidth="1"/>
    <col min="13570" max="13570" width="3.83203125" style="51" customWidth="1"/>
    <col min="13571" max="13583" width="12.5" style="51" customWidth="1"/>
    <col min="13584" max="13584" width="8.5" style="51" customWidth="1"/>
    <col min="13585" max="13823" width="10.6640625" style="51"/>
    <col min="13824" max="13824" width="13.1640625" style="51" customWidth="1"/>
    <col min="13825" max="13825" width="79" style="51" customWidth="1"/>
    <col min="13826" max="13826" width="3.83203125" style="51" customWidth="1"/>
    <col min="13827" max="13839" width="12.5" style="51" customWidth="1"/>
    <col min="13840" max="13840" width="8.5" style="51" customWidth="1"/>
    <col min="13841" max="14079" width="10.6640625" style="51"/>
    <col min="14080" max="14080" width="13.1640625" style="51" customWidth="1"/>
    <col min="14081" max="14081" width="79" style="51" customWidth="1"/>
    <col min="14082" max="14082" width="3.83203125" style="51" customWidth="1"/>
    <col min="14083" max="14095" width="12.5" style="51" customWidth="1"/>
    <col min="14096" max="14096" width="8.5" style="51" customWidth="1"/>
    <col min="14097" max="14335" width="10.6640625" style="51"/>
    <col min="14336" max="14336" width="13.1640625" style="51" customWidth="1"/>
    <col min="14337" max="14337" width="79" style="51" customWidth="1"/>
    <col min="14338" max="14338" width="3.83203125" style="51" customWidth="1"/>
    <col min="14339" max="14351" width="12.5" style="51" customWidth="1"/>
    <col min="14352" max="14352" width="8.5" style="51" customWidth="1"/>
    <col min="14353" max="14591" width="10.6640625" style="51"/>
    <col min="14592" max="14592" width="13.1640625" style="51" customWidth="1"/>
    <col min="14593" max="14593" width="79" style="51" customWidth="1"/>
    <col min="14594" max="14594" width="3.83203125" style="51" customWidth="1"/>
    <col min="14595" max="14607" width="12.5" style="51" customWidth="1"/>
    <col min="14608" max="14608" width="8.5" style="51" customWidth="1"/>
    <col min="14609" max="14847" width="10.6640625" style="51"/>
    <col min="14848" max="14848" width="13.1640625" style="51" customWidth="1"/>
    <col min="14849" max="14849" width="79" style="51" customWidth="1"/>
    <col min="14850" max="14850" width="3.83203125" style="51" customWidth="1"/>
    <col min="14851" max="14863" width="12.5" style="51" customWidth="1"/>
    <col min="14864" max="14864" width="8.5" style="51" customWidth="1"/>
    <col min="14865" max="15103" width="10.6640625" style="51"/>
    <col min="15104" max="15104" width="13.1640625" style="51" customWidth="1"/>
    <col min="15105" max="15105" width="79" style="51" customWidth="1"/>
    <col min="15106" max="15106" width="3.83203125" style="51" customWidth="1"/>
    <col min="15107" max="15119" width="12.5" style="51" customWidth="1"/>
    <col min="15120" max="15120" width="8.5" style="51" customWidth="1"/>
    <col min="15121" max="15359" width="10.6640625" style="51"/>
    <col min="15360" max="15360" width="13.1640625" style="51" customWidth="1"/>
    <col min="15361" max="15361" width="79" style="51" customWidth="1"/>
    <col min="15362" max="15362" width="3.83203125" style="51" customWidth="1"/>
    <col min="15363" max="15375" width="12.5" style="51" customWidth="1"/>
    <col min="15376" max="15376" width="8.5" style="51" customWidth="1"/>
    <col min="15377" max="15615" width="10.6640625" style="51"/>
    <col min="15616" max="15616" width="13.1640625" style="51" customWidth="1"/>
    <col min="15617" max="15617" width="79" style="51" customWidth="1"/>
    <col min="15618" max="15618" width="3.83203125" style="51" customWidth="1"/>
    <col min="15619" max="15631" width="12.5" style="51" customWidth="1"/>
    <col min="15632" max="15632" width="8.5" style="51" customWidth="1"/>
    <col min="15633" max="15871" width="10.6640625" style="51"/>
    <col min="15872" max="15872" width="13.1640625" style="51" customWidth="1"/>
    <col min="15873" max="15873" width="79" style="51" customWidth="1"/>
    <col min="15874" max="15874" width="3.83203125" style="51" customWidth="1"/>
    <col min="15875" max="15887" width="12.5" style="51" customWidth="1"/>
    <col min="15888" max="15888" width="8.5" style="51" customWidth="1"/>
    <col min="15889" max="16127" width="10.6640625" style="51"/>
    <col min="16128" max="16128" width="13.1640625" style="51" customWidth="1"/>
    <col min="16129" max="16129" width="79" style="51" customWidth="1"/>
    <col min="16130" max="16130" width="3.83203125" style="51" customWidth="1"/>
    <col min="16131" max="16143" width="12.5" style="51" customWidth="1"/>
    <col min="16144" max="16144" width="8.5" style="51" customWidth="1"/>
    <col min="16145" max="16384" width="10.6640625" style="51"/>
  </cols>
  <sheetData>
    <row r="1" spans="1:19" ht="13.5" thickBot="1" x14ac:dyDescent="0.25">
      <c r="A1" s="278" t="s">
        <v>35</v>
      </c>
      <c r="B1" s="279">
        <v>3</v>
      </c>
      <c r="C1" s="280"/>
      <c r="D1" s="281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</row>
    <row r="2" spans="1:19" ht="13.5" thickTop="1" x14ac:dyDescent="0.2">
      <c r="A2" s="283" t="str">
        <f>CONCATENATE($B$1,"|",B2)</f>
        <v>3|1</v>
      </c>
      <c r="B2" s="284">
        <v>1</v>
      </c>
      <c r="C2" s="285" t="s">
        <v>152</v>
      </c>
      <c r="D2" s="286">
        <v>1</v>
      </c>
      <c r="E2" s="287">
        <v>50</v>
      </c>
      <c r="F2" s="287">
        <v>50</v>
      </c>
      <c r="G2" s="287"/>
      <c r="H2" s="287"/>
      <c r="I2" s="287"/>
      <c r="J2" s="288"/>
      <c r="K2" s="288"/>
      <c r="L2" s="288"/>
      <c r="M2" s="288"/>
      <c r="N2" s="288"/>
      <c r="O2" s="288"/>
      <c r="P2" s="288"/>
      <c r="S2" s="51">
        <f>SUM(E2:P2)</f>
        <v>100</v>
      </c>
    </row>
    <row r="3" spans="1:19" x14ac:dyDescent="0.2">
      <c r="A3" s="289" t="str">
        <f t="shared" ref="A3:A12" si="0">CONCATENATE($B$1,"|",B3)</f>
        <v>3|2</v>
      </c>
      <c r="B3" s="290" t="s">
        <v>89</v>
      </c>
      <c r="C3" s="285" t="s">
        <v>148</v>
      </c>
      <c r="D3" s="286">
        <v>2</v>
      </c>
      <c r="E3" s="287">
        <v>50</v>
      </c>
      <c r="F3" s="287">
        <v>50</v>
      </c>
      <c r="G3" s="287"/>
      <c r="H3" s="287"/>
      <c r="I3" s="287"/>
      <c r="J3" s="291"/>
      <c r="K3" s="291"/>
      <c r="L3" s="291"/>
      <c r="M3" s="291"/>
      <c r="N3" s="291"/>
      <c r="O3" s="291"/>
      <c r="P3" s="291"/>
      <c r="S3" s="51">
        <f t="shared" ref="S3:S12" si="1">SUM(E3:P3)</f>
        <v>100</v>
      </c>
    </row>
    <row r="4" spans="1:19" x14ac:dyDescent="0.2">
      <c r="A4" s="289" t="str">
        <f t="shared" si="0"/>
        <v>3|3</v>
      </c>
      <c r="B4" s="290" t="s">
        <v>93</v>
      </c>
      <c r="C4" s="285" t="s">
        <v>153</v>
      </c>
      <c r="D4" s="286">
        <v>3</v>
      </c>
      <c r="E4" s="292">
        <v>25</v>
      </c>
      <c r="F4" s="292">
        <v>60</v>
      </c>
      <c r="G4" s="292">
        <v>15</v>
      </c>
      <c r="H4" s="292"/>
      <c r="I4" s="292"/>
      <c r="J4" s="291"/>
      <c r="K4" s="291"/>
      <c r="L4" s="291"/>
      <c r="M4" s="291"/>
      <c r="N4" s="291"/>
      <c r="O4" s="291"/>
      <c r="P4" s="291"/>
      <c r="S4" s="51">
        <f t="shared" si="1"/>
        <v>100</v>
      </c>
    </row>
    <row r="5" spans="1:19" x14ac:dyDescent="0.2">
      <c r="A5" s="289" t="str">
        <f t="shared" si="0"/>
        <v>3|4</v>
      </c>
      <c r="B5" s="290" t="s">
        <v>96</v>
      </c>
      <c r="C5" s="285" t="s">
        <v>149</v>
      </c>
      <c r="D5" s="286">
        <v>4</v>
      </c>
      <c r="E5" s="292"/>
      <c r="F5" s="292">
        <v>50</v>
      </c>
      <c r="G5" s="292">
        <v>50</v>
      </c>
      <c r="H5" s="292"/>
      <c r="I5" s="292"/>
      <c r="J5" s="291"/>
      <c r="K5" s="291"/>
      <c r="L5" s="291"/>
      <c r="M5" s="291"/>
      <c r="N5" s="291"/>
      <c r="O5" s="291"/>
      <c r="P5" s="291"/>
      <c r="S5" s="51">
        <f t="shared" si="1"/>
        <v>100</v>
      </c>
    </row>
    <row r="6" spans="1:19" x14ac:dyDescent="0.2">
      <c r="A6" s="289" t="str">
        <f t="shared" si="0"/>
        <v>3|5</v>
      </c>
      <c r="B6" s="290" t="s">
        <v>88</v>
      </c>
      <c r="C6" s="285" t="s">
        <v>150</v>
      </c>
      <c r="D6" s="286">
        <v>5</v>
      </c>
      <c r="E6" s="292">
        <v>20</v>
      </c>
      <c r="F6" s="292">
        <v>50</v>
      </c>
      <c r="G6" s="292">
        <v>30</v>
      </c>
      <c r="H6" s="292"/>
      <c r="I6" s="292"/>
      <c r="J6" s="291"/>
      <c r="K6" s="291"/>
      <c r="L6" s="291"/>
      <c r="M6" s="291"/>
      <c r="N6" s="291"/>
      <c r="O6" s="291"/>
      <c r="P6" s="291"/>
      <c r="S6" s="51">
        <f t="shared" si="1"/>
        <v>100</v>
      </c>
    </row>
    <row r="7" spans="1:19" x14ac:dyDescent="0.2">
      <c r="A7" s="289" t="str">
        <f t="shared" si="0"/>
        <v>3|6</v>
      </c>
      <c r="B7" s="290" t="s">
        <v>97</v>
      </c>
      <c r="C7" s="285" t="s">
        <v>429</v>
      </c>
      <c r="D7" s="286">
        <v>3</v>
      </c>
      <c r="E7" s="292"/>
      <c r="F7" s="292">
        <v>50</v>
      </c>
      <c r="G7" s="292">
        <v>50</v>
      </c>
      <c r="H7" s="292"/>
      <c r="I7" s="292"/>
      <c r="J7" s="291"/>
      <c r="K7" s="291"/>
      <c r="L7" s="291"/>
      <c r="M7" s="291"/>
      <c r="N7" s="291"/>
      <c r="O7" s="291"/>
      <c r="P7" s="291"/>
      <c r="S7" s="51">
        <f t="shared" si="1"/>
        <v>100</v>
      </c>
    </row>
    <row r="8" spans="1:19" x14ac:dyDescent="0.2">
      <c r="A8" s="289" t="str">
        <f t="shared" si="0"/>
        <v>3|7</v>
      </c>
      <c r="B8" s="290" t="s">
        <v>147</v>
      </c>
      <c r="C8" s="285" t="s">
        <v>154</v>
      </c>
      <c r="D8" s="286">
        <v>5</v>
      </c>
      <c r="E8" s="292"/>
      <c r="F8" s="292">
        <v>20</v>
      </c>
      <c r="G8" s="292">
        <v>80</v>
      </c>
      <c r="H8" s="292"/>
      <c r="I8" s="292"/>
      <c r="J8" s="291"/>
      <c r="K8" s="291"/>
      <c r="L8" s="291"/>
      <c r="M8" s="291"/>
      <c r="N8" s="291"/>
      <c r="O8" s="291"/>
      <c r="P8" s="291"/>
      <c r="S8" s="51">
        <f t="shared" si="1"/>
        <v>100</v>
      </c>
    </row>
    <row r="9" spans="1:19" x14ac:dyDescent="0.2">
      <c r="A9" s="289" t="str">
        <f t="shared" si="0"/>
        <v>3|8</v>
      </c>
      <c r="B9" s="290" t="s">
        <v>108</v>
      </c>
      <c r="C9" s="285" t="s">
        <v>155</v>
      </c>
      <c r="D9" s="286">
        <v>6</v>
      </c>
      <c r="E9" s="292"/>
      <c r="F9" s="292">
        <v>50</v>
      </c>
      <c r="G9" s="292">
        <v>50</v>
      </c>
      <c r="H9" s="292"/>
      <c r="I9" s="292"/>
      <c r="J9" s="291"/>
      <c r="K9" s="291"/>
      <c r="L9" s="291"/>
      <c r="M9" s="291"/>
      <c r="N9" s="291"/>
      <c r="O9" s="291"/>
      <c r="P9" s="291"/>
      <c r="S9" s="51">
        <f t="shared" si="1"/>
        <v>100</v>
      </c>
    </row>
    <row r="10" spans="1:19" x14ac:dyDescent="0.2">
      <c r="A10" s="289" t="str">
        <f t="shared" si="0"/>
        <v>3|9</v>
      </c>
      <c r="B10" s="290" t="s">
        <v>156</v>
      </c>
      <c r="C10" s="285" t="s">
        <v>157</v>
      </c>
      <c r="D10" s="286">
        <v>6</v>
      </c>
      <c r="E10" s="292">
        <v>30</v>
      </c>
      <c r="F10" s="292">
        <v>40</v>
      </c>
      <c r="G10" s="292">
        <v>30</v>
      </c>
      <c r="H10" s="292"/>
      <c r="I10" s="292"/>
      <c r="J10" s="291"/>
      <c r="K10" s="291"/>
      <c r="L10" s="291"/>
      <c r="M10" s="291"/>
      <c r="N10" s="291"/>
      <c r="O10" s="291"/>
      <c r="P10" s="291"/>
      <c r="S10" s="51">
        <f t="shared" si="1"/>
        <v>100</v>
      </c>
    </row>
    <row r="11" spans="1:19" x14ac:dyDescent="0.2">
      <c r="A11" s="289" t="str">
        <f t="shared" si="0"/>
        <v>3|10</v>
      </c>
      <c r="B11" s="290" t="s">
        <v>158</v>
      </c>
      <c r="C11" s="285" t="s">
        <v>151</v>
      </c>
      <c r="D11" s="286"/>
      <c r="E11" s="292">
        <v>60</v>
      </c>
      <c r="F11" s="292">
        <v>40</v>
      </c>
      <c r="G11" s="292"/>
      <c r="H11" s="292"/>
      <c r="I11" s="292"/>
      <c r="J11" s="291"/>
      <c r="K11" s="291"/>
      <c r="L11" s="291"/>
      <c r="M11" s="291"/>
      <c r="N11" s="291"/>
      <c r="O11" s="291"/>
      <c r="P11" s="291"/>
      <c r="S11" s="51">
        <f t="shared" si="1"/>
        <v>100</v>
      </c>
    </row>
    <row r="12" spans="1:19" x14ac:dyDescent="0.2">
      <c r="A12" s="289" t="str">
        <f t="shared" si="0"/>
        <v>3|11</v>
      </c>
      <c r="B12" s="290" t="s">
        <v>164</v>
      </c>
      <c r="C12" s="285" t="s">
        <v>176</v>
      </c>
      <c r="D12" s="286"/>
      <c r="E12" s="292">
        <v>15</v>
      </c>
      <c r="F12" s="292">
        <v>60</v>
      </c>
      <c r="G12" s="292">
        <v>25</v>
      </c>
      <c r="H12" s="292"/>
      <c r="I12" s="292"/>
      <c r="J12" s="291"/>
      <c r="K12" s="291"/>
      <c r="L12" s="291"/>
      <c r="M12" s="291"/>
      <c r="N12" s="291"/>
      <c r="O12" s="291"/>
      <c r="P12" s="291"/>
      <c r="S12" s="51">
        <f t="shared" si="1"/>
        <v>100</v>
      </c>
    </row>
    <row r="13" spans="1:19" ht="5.45" customHeight="1" x14ac:dyDescent="0.2"/>
    <row r="14" spans="1:19" ht="13.5" thickBot="1" x14ac:dyDescent="0.25">
      <c r="A14" s="293" t="s">
        <v>35</v>
      </c>
      <c r="B14" s="294">
        <v>4</v>
      </c>
      <c r="C14" s="295"/>
      <c r="D14" s="296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</row>
    <row r="15" spans="1:19" ht="13.5" thickTop="1" x14ac:dyDescent="0.2">
      <c r="A15" s="297" t="str">
        <f>CONCATENATE($B$14,"|",B15)</f>
        <v>4|1</v>
      </c>
      <c r="B15" s="284">
        <v>1</v>
      </c>
      <c r="C15" s="285" t="s">
        <v>152</v>
      </c>
      <c r="D15" s="286">
        <v>1</v>
      </c>
      <c r="E15" s="287">
        <v>45</v>
      </c>
      <c r="F15" s="287">
        <v>45</v>
      </c>
      <c r="G15" s="287">
        <v>10</v>
      </c>
      <c r="H15" s="287"/>
      <c r="I15" s="287"/>
      <c r="J15" s="288"/>
      <c r="K15" s="288"/>
      <c r="L15" s="288"/>
      <c r="M15" s="288"/>
      <c r="N15" s="288"/>
      <c r="O15" s="288"/>
      <c r="P15" s="288"/>
      <c r="S15" s="51">
        <f>SUM(E15:P15)</f>
        <v>100</v>
      </c>
    </row>
    <row r="16" spans="1:19" x14ac:dyDescent="0.2">
      <c r="A16" s="289" t="str">
        <f t="shared" ref="A16:A25" si="2">CONCATENATE($B$14,"|",B16)</f>
        <v>4|2</v>
      </c>
      <c r="B16" s="290" t="s">
        <v>89</v>
      </c>
      <c r="C16" s="285" t="s">
        <v>148</v>
      </c>
      <c r="D16" s="286">
        <v>2</v>
      </c>
      <c r="E16" s="287">
        <v>40</v>
      </c>
      <c r="F16" s="287">
        <v>40</v>
      </c>
      <c r="G16" s="287">
        <v>20</v>
      </c>
      <c r="H16" s="287"/>
      <c r="I16" s="287"/>
      <c r="J16" s="291"/>
      <c r="K16" s="291"/>
      <c r="L16" s="291"/>
      <c r="M16" s="291"/>
      <c r="N16" s="291"/>
      <c r="O16" s="291"/>
      <c r="P16" s="291"/>
      <c r="S16" s="51">
        <f t="shared" ref="S16:S25" si="3">SUM(E16:P16)</f>
        <v>100</v>
      </c>
    </row>
    <row r="17" spans="1:19" x14ac:dyDescent="0.2">
      <c r="A17" s="289" t="str">
        <f t="shared" si="2"/>
        <v>4|3</v>
      </c>
      <c r="B17" s="290" t="s">
        <v>93</v>
      </c>
      <c r="C17" s="285" t="s">
        <v>153</v>
      </c>
      <c r="D17" s="286">
        <v>3</v>
      </c>
      <c r="E17" s="292">
        <v>20</v>
      </c>
      <c r="F17" s="292">
        <v>35</v>
      </c>
      <c r="G17" s="292">
        <v>35</v>
      </c>
      <c r="H17" s="292">
        <v>10</v>
      </c>
      <c r="I17" s="292"/>
      <c r="J17" s="291"/>
      <c r="K17" s="291"/>
      <c r="L17" s="291"/>
      <c r="M17" s="291"/>
      <c r="N17" s="291"/>
      <c r="O17" s="291"/>
      <c r="P17" s="291"/>
      <c r="S17" s="51">
        <f t="shared" si="3"/>
        <v>100</v>
      </c>
    </row>
    <row r="18" spans="1:19" x14ac:dyDescent="0.2">
      <c r="A18" s="289" t="str">
        <f t="shared" si="2"/>
        <v>4|4</v>
      </c>
      <c r="B18" s="290" t="s">
        <v>96</v>
      </c>
      <c r="C18" s="285" t="s">
        <v>149</v>
      </c>
      <c r="D18" s="286">
        <v>4</v>
      </c>
      <c r="E18" s="292"/>
      <c r="F18" s="292">
        <v>35</v>
      </c>
      <c r="G18" s="292">
        <v>35</v>
      </c>
      <c r="H18" s="292">
        <v>30</v>
      </c>
      <c r="I18" s="292"/>
      <c r="J18" s="291"/>
      <c r="K18" s="291"/>
      <c r="L18" s="291"/>
      <c r="M18" s="291"/>
      <c r="N18" s="291"/>
      <c r="O18" s="291"/>
      <c r="P18" s="291"/>
      <c r="S18" s="51">
        <f t="shared" si="3"/>
        <v>100</v>
      </c>
    </row>
    <row r="19" spans="1:19" x14ac:dyDescent="0.2">
      <c r="A19" s="289" t="str">
        <f t="shared" si="2"/>
        <v>4|5</v>
      </c>
      <c r="B19" s="290" t="s">
        <v>88</v>
      </c>
      <c r="C19" s="285" t="s">
        <v>150</v>
      </c>
      <c r="D19" s="286">
        <v>5</v>
      </c>
      <c r="E19" s="292">
        <v>10</v>
      </c>
      <c r="F19" s="292">
        <v>35</v>
      </c>
      <c r="G19" s="292">
        <v>35</v>
      </c>
      <c r="H19" s="292">
        <v>20</v>
      </c>
      <c r="I19" s="292"/>
      <c r="J19" s="291"/>
      <c r="K19" s="291"/>
      <c r="L19" s="291"/>
      <c r="M19" s="291"/>
      <c r="N19" s="291"/>
      <c r="O19" s="291"/>
      <c r="P19" s="291"/>
      <c r="S19" s="51">
        <f t="shared" si="3"/>
        <v>100</v>
      </c>
    </row>
    <row r="20" spans="1:19" x14ac:dyDescent="0.2">
      <c r="A20" s="289" t="str">
        <f t="shared" si="2"/>
        <v>4|6</v>
      </c>
      <c r="B20" s="290" t="s">
        <v>97</v>
      </c>
      <c r="C20" s="285" t="s">
        <v>429</v>
      </c>
      <c r="D20" s="286">
        <v>3</v>
      </c>
      <c r="E20" s="292"/>
      <c r="F20" s="292">
        <v>35</v>
      </c>
      <c r="G20" s="292">
        <v>35</v>
      </c>
      <c r="H20" s="292">
        <v>30</v>
      </c>
      <c r="I20" s="292"/>
      <c r="J20" s="291"/>
      <c r="K20" s="291"/>
      <c r="L20" s="291"/>
      <c r="M20" s="291"/>
      <c r="N20" s="291"/>
      <c r="O20" s="291"/>
      <c r="P20" s="291"/>
      <c r="S20" s="51">
        <f t="shared" si="3"/>
        <v>100</v>
      </c>
    </row>
    <row r="21" spans="1:19" x14ac:dyDescent="0.2">
      <c r="A21" s="289" t="str">
        <f t="shared" si="2"/>
        <v>4|7</v>
      </c>
      <c r="B21" s="290" t="s">
        <v>147</v>
      </c>
      <c r="C21" s="285" t="s">
        <v>154</v>
      </c>
      <c r="D21" s="286">
        <v>5</v>
      </c>
      <c r="E21" s="292"/>
      <c r="F21" s="292">
        <v>15</v>
      </c>
      <c r="G21" s="292">
        <v>60</v>
      </c>
      <c r="H21" s="292">
        <v>25</v>
      </c>
      <c r="I21" s="292"/>
      <c r="J21" s="291"/>
      <c r="K21" s="291"/>
      <c r="L21" s="291"/>
      <c r="M21" s="291"/>
      <c r="N21" s="291"/>
      <c r="O21" s="291"/>
      <c r="P21" s="291"/>
      <c r="S21" s="51">
        <f t="shared" si="3"/>
        <v>100</v>
      </c>
    </row>
    <row r="22" spans="1:19" x14ac:dyDescent="0.2">
      <c r="A22" s="289" t="str">
        <f t="shared" si="2"/>
        <v>4|8</v>
      </c>
      <c r="B22" s="290" t="s">
        <v>108</v>
      </c>
      <c r="C22" s="285" t="s">
        <v>155</v>
      </c>
      <c r="D22" s="286">
        <v>6</v>
      </c>
      <c r="E22" s="292"/>
      <c r="F22" s="292">
        <v>30</v>
      </c>
      <c r="G22" s="292">
        <v>40</v>
      </c>
      <c r="H22" s="292">
        <v>30</v>
      </c>
      <c r="I22" s="292"/>
      <c r="J22" s="291"/>
      <c r="K22" s="291"/>
      <c r="L22" s="291"/>
      <c r="M22" s="291"/>
      <c r="N22" s="291"/>
      <c r="O22" s="291"/>
      <c r="P22" s="291"/>
      <c r="S22" s="51">
        <f t="shared" si="3"/>
        <v>100</v>
      </c>
    </row>
    <row r="23" spans="1:19" x14ac:dyDescent="0.2">
      <c r="A23" s="289" t="str">
        <f t="shared" si="2"/>
        <v>4|9</v>
      </c>
      <c r="B23" s="290" t="s">
        <v>156</v>
      </c>
      <c r="C23" s="285" t="s">
        <v>157</v>
      </c>
      <c r="D23" s="286">
        <v>6</v>
      </c>
      <c r="E23" s="292">
        <v>10</v>
      </c>
      <c r="F23" s="292">
        <v>35</v>
      </c>
      <c r="G23" s="292">
        <v>35</v>
      </c>
      <c r="H23" s="292">
        <v>20</v>
      </c>
      <c r="I23" s="292"/>
      <c r="J23" s="291"/>
      <c r="K23" s="291"/>
      <c r="L23" s="291"/>
      <c r="M23" s="291"/>
      <c r="N23" s="291"/>
      <c r="O23" s="291"/>
      <c r="P23" s="291"/>
      <c r="S23" s="51">
        <f t="shared" si="3"/>
        <v>100</v>
      </c>
    </row>
    <row r="24" spans="1:19" x14ac:dyDescent="0.2">
      <c r="A24" s="289" t="str">
        <f t="shared" si="2"/>
        <v>4|10</v>
      </c>
      <c r="B24" s="290" t="s">
        <v>158</v>
      </c>
      <c r="C24" s="285" t="s">
        <v>151</v>
      </c>
      <c r="D24" s="286"/>
      <c r="E24" s="292">
        <v>40</v>
      </c>
      <c r="F24" s="292">
        <v>40</v>
      </c>
      <c r="G24" s="292">
        <v>20</v>
      </c>
      <c r="H24" s="292"/>
      <c r="I24" s="292"/>
      <c r="J24" s="291"/>
      <c r="K24" s="291"/>
      <c r="L24" s="291"/>
      <c r="M24" s="291"/>
      <c r="N24" s="291"/>
      <c r="O24" s="291"/>
      <c r="P24" s="291"/>
      <c r="S24" s="51">
        <f t="shared" si="3"/>
        <v>100</v>
      </c>
    </row>
    <row r="25" spans="1:19" x14ac:dyDescent="0.2">
      <c r="A25" s="298" t="str">
        <f t="shared" si="2"/>
        <v>4|11</v>
      </c>
      <c r="B25" s="290" t="s">
        <v>164</v>
      </c>
      <c r="C25" s="285" t="s">
        <v>176</v>
      </c>
      <c r="D25" s="286"/>
      <c r="E25" s="292">
        <v>10</v>
      </c>
      <c r="F25" s="292">
        <v>35</v>
      </c>
      <c r="G25" s="292">
        <v>35</v>
      </c>
      <c r="H25" s="292">
        <v>20</v>
      </c>
      <c r="I25" s="292"/>
      <c r="J25" s="291"/>
      <c r="K25" s="291"/>
      <c r="L25" s="291"/>
      <c r="M25" s="291"/>
      <c r="N25" s="291"/>
      <c r="O25" s="291"/>
      <c r="P25" s="291"/>
      <c r="S25" s="51">
        <f t="shared" si="3"/>
        <v>100</v>
      </c>
    </row>
    <row r="26" spans="1:19" ht="5.45" customHeight="1" x14ac:dyDescent="0.2"/>
    <row r="27" spans="1:19" ht="13.5" thickBot="1" x14ac:dyDescent="0.25">
      <c r="A27" s="293" t="s">
        <v>35</v>
      </c>
      <c r="B27" s="294">
        <v>5</v>
      </c>
      <c r="C27" s="295"/>
      <c r="D27" s="296"/>
      <c r="E27" s="282"/>
      <c r="F27" s="282"/>
      <c r="G27" s="282"/>
      <c r="H27" s="282"/>
      <c r="I27" s="282"/>
      <c r="J27" s="282"/>
      <c r="K27" s="282"/>
      <c r="L27" s="282"/>
      <c r="M27" s="282"/>
      <c r="N27" s="282"/>
      <c r="O27" s="282"/>
      <c r="P27" s="282"/>
    </row>
    <row r="28" spans="1:19" ht="13.5" thickTop="1" x14ac:dyDescent="0.2">
      <c r="A28" s="297" t="str">
        <f>CONCATENATE($B$27,"|",B28)</f>
        <v>5|1</v>
      </c>
      <c r="B28" s="284">
        <v>1</v>
      </c>
      <c r="C28" s="285" t="s">
        <v>152</v>
      </c>
      <c r="D28" s="286">
        <v>1</v>
      </c>
      <c r="E28" s="287">
        <v>40</v>
      </c>
      <c r="F28" s="287">
        <v>30</v>
      </c>
      <c r="G28" s="287">
        <v>25</v>
      </c>
      <c r="H28" s="287">
        <v>5</v>
      </c>
      <c r="I28" s="287"/>
      <c r="J28" s="288"/>
      <c r="K28" s="288"/>
      <c r="L28" s="288"/>
      <c r="M28" s="288"/>
      <c r="N28" s="288"/>
      <c r="O28" s="288"/>
      <c r="P28" s="288"/>
      <c r="S28" s="51">
        <f>SUM(E28:P28)</f>
        <v>100</v>
      </c>
    </row>
    <row r="29" spans="1:19" x14ac:dyDescent="0.2">
      <c r="A29" s="289" t="str">
        <f t="shared" ref="A29:A38" si="4">CONCATENATE($B$27,"|",B29)</f>
        <v>5|2</v>
      </c>
      <c r="B29" s="290" t="s">
        <v>89</v>
      </c>
      <c r="C29" s="285" t="s">
        <v>148</v>
      </c>
      <c r="D29" s="286">
        <v>2</v>
      </c>
      <c r="E29" s="287">
        <v>30</v>
      </c>
      <c r="F29" s="287">
        <v>30</v>
      </c>
      <c r="G29" s="287">
        <v>30</v>
      </c>
      <c r="H29" s="287">
        <v>10</v>
      </c>
      <c r="I29" s="287"/>
      <c r="J29" s="291"/>
      <c r="K29" s="291"/>
      <c r="L29" s="291"/>
      <c r="M29" s="291"/>
      <c r="N29" s="291"/>
      <c r="O29" s="291"/>
      <c r="P29" s="291"/>
      <c r="S29" s="51">
        <f t="shared" ref="S29:S38" si="5">SUM(E29:P29)</f>
        <v>100</v>
      </c>
    </row>
    <row r="30" spans="1:19" x14ac:dyDescent="0.2">
      <c r="A30" s="289" t="str">
        <f t="shared" si="4"/>
        <v>5|3</v>
      </c>
      <c r="B30" s="290" t="s">
        <v>93</v>
      </c>
      <c r="C30" s="285" t="s">
        <v>153</v>
      </c>
      <c r="D30" s="286">
        <v>3</v>
      </c>
      <c r="E30" s="292">
        <v>10</v>
      </c>
      <c r="F30" s="292">
        <v>30</v>
      </c>
      <c r="G30" s="292">
        <v>30</v>
      </c>
      <c r="H30" s="292">
        <v>25</v>
      </c>
      <c r="I30" s="292">
        <v>5</v>
      </c>
      <c r="J30" s="291"/>
      <c r="K30" s="291"/>
      <c r="L30" s="291"/>
      <c r="M30" s="291"/>
      <c r="N30" s="291"/>
      <c r="O30" s="291"/>
      <c r="P30" s="291"/>
      <c r="S30" s="51">
        <f t="shared" si="5"/>
        <v>100</v>
      </c>
    </row>
    <row r="31" spans="1:19" x14ac:dyDescent="0.2">
      <c r="A31" s="289" t="str">
        <f t="shared" si="4"/>
        <v>5|4</v>
      </c>
      <c r="B31" s="290" t="s">
        <v>96</v>
      </c>
      <c r="C31" s="285" t="s">
        <v>149</v>
      </c>
      <c r="D31" s="286">
        <v>4</v>
      </c>
      <c r="E31" s="292"/>
      <c r="F31" s="292">
        <v>15</v>
      </c>
      <c r="G31" s="292">
        <v>30</v>
      </c>
      <c r="H31" s="292">
        <v>30</v>
      </c>
      <c r="I31" s="292">
        <v>25</v>
      </c>
      <c r="J31" s="291"/>
      <c r="K31" s="291"/>
      <c r="L31" s="291"/>
      <c r="M31" s="291"/>
      <c r="N31" s="291"/>
      <c r="O31" s="291"/>
      <c r="P31" s="291"/>
      <c r="S31" s="51">
        <f t="shared" si="5"/>
        <v>100</v>
      </c>
    </row>
    <row r="32" spans="1:19" x14ac:dyDescent="0.2">
      <c r="A32" s="289" t="str">
        <f t="shared" si="4"/>
        <v>5|5</v>
      </c>
      <c r="B32" s="290" t="s">
        <v>88</v>
      </c>
      <c r="C32" s="285" t="s">
        <v>150</v>
      </c>
      <c r="D32" s="286">
        <v>5</v>
      </c>
      <c r="E32" s="292"/>
      <c r="F32" s="292">
        <v>25</v>
      </c>
      <c r="G32" s="292">
        <v>35</v>
      </c>
      <c r="H32" s="292">
        <v>35</v>
      </c>
      <c r="I32" s="292">
        <v>5</v>
      </c>
      <c r="J32" s="291"/>
      <c r="K32" s="291"/>
      <c r="L32" s="291"/>
      <c r="M32" s="291"/>
      <c r="N32" s="291"/>
      <c r="O32" s="291"/>
      <c r="P32" s="291"/>
      <c r="S32" s="51">
        <f t="shared" si="5"/>
        <v>100</v>
      </c>
    </row>
    <row r="33" spans="1:19" x14ac:dyDescent="0.2">
      <c r="A33" s="289" t="str">
        <f t="shared" si="4"/>
        <v>5|6</v>
      </c>
      <c r="B33" s="290" t="s">
        <v>97</v>
      </c>
      <c r="C33" s="285" t="s">
        <v>429</v>
      </c>
      <c r="D33" s="286">
        <v>3</v>
      </c>
      <c r="E33" s="292"/>
      <c r="F33" s="292">
        <v>5</v>
      </c>
      <c r="G33" s="292">
        <v>40</v>
      </c>
      <c r="H33" s="292">
        <v>30</v>
      </c>
      <c r="I33" s="292">
        <v>25</v>
      </c>
      <c r="J33" s="291"/>
      <c r="K33" s="291"/>
      <c r="L33" s="291"/>
      <c r="M33" s="291"/>
      <c r="N33" s="291"/>
      <c r="O33" s="291"/>
      <c r="P33" s="291"/>
      <c r="S33" s="51">
        <f t="shared" si="5"/>
        <v>100</v>
      </c>
    </row>
    <row r="34" spans="1:19" x14ac:dyDescent="0.2">
      <c r="A34" s="289" t="str">
        <f t="shared" si="4"/>
        <v>5|7</v>
      </c>
      <c r="B34" s="290" t="s">
        <v>147</v>
      </c>
      <c r="C34" s="285" t="s">
        <v>154</v>
      </c>
      <c r="D34" s="286">
        <v>5</v>
      </c>
      <c r="E34" s="292"/>
      <c r="F34" s="292">
        <v>10</v>
      </c>
      <c r="G34" s="292">
        <v>35</v>
      </c>
      <c r="H34" s="292">
        <v>35</v>
      </c>
      <c r="I34" s="292">
        <v>20</v>
      </c>
      <c r="J34" s="291"/>
      <c r="K34" s="291"/>
      <c r="L34" s="291"/>
      <c r="M34" s="291"/>
      <c r="N34" s="291"/>
      <c r="O34" s="291"/>
      <c r="P34" s="291"/>
      <c r="S34" s="51">
        <f t="shared" si="5"/>
        <v>100</v>
      </c>
    </row>
    <row r="35" spans="1:19" x14ac:dyDescent="0.2">
      <c r="A35" s="289" t="str">
        <f t="shared" si="4"/>
        <v>5|8</v>
      </c>
      <c r="B35" s="290" t="s">
        <v>108</v>
      </c>
      <c r="C35" s="285" t="s">
        <v>155</v>
      </c>
      <c r="D35" s="286">
        <v>6</v>
      </c>
      <c r="E35" s="292"/>
      <c r="F35" s="292">
        <v>10</v>
      </c>
      <c r="G35" s="292">
        <v>35</v>
      </c>
      <c r="H35" s="292">
        <v>35</v>
      </c>
      <c r="I35" s="292">
        <v>20</v>
      </c>
      <c r="J35" s="291"/>
      <c r="K35" s="291"/>
      <c r="L35" s="291"/>
      <c r="M35" s="291"/>
      <c r="N35" s="291"/>
      <c r="O35" s="291"/>
      <c r="P35" s="291"/>
      <c r="S35" s="51">
        <f t="shared" si="5"/>
        <v>100</v>
      </c>
    </row>
    <row r="36" spans="1:19" x14ac:dyDescent="0.2">
      <c r="A36" s="289" t="str">
        <f t="shared" si="4"/>
        <v>5|9</v>
      </c>
      <c r="B36" s="290" t="s">
        <v>156</v>
      </c>
      <c r="C36" s="285" t="s">
        <v>157</v>
      </c>
      <c r="D36" s="286">
        <v>6</v>
      </c>
      <c r="E36" s="292">
        <v>5</v>
      </c>
      <c r="F36" s="292">
        <v>25</v>
      </c>
      <c r="G36" s="292">
        <v>25</v>
      </c>
      <c r="H36" s="292">
        <v>25</v>
      </c>
      <c r="I36" s="292">
        <v>20</v>
      </c>
      <c r="J36" s="291"/>
      <c r="K36" s="291"/>
      <c r="L36" s="291"/>
      <c r="M36" s="291"/>
      <c r="N36" s="291"/>
      <c r="O36" s="291"/>
      <c r="P36" s="291"/>
      <c r="S36" s="51">
        <f t="shared" si="5"/>
        <v>100</v>
      </c>
    </row>
    <row r="37" spans="1:19" x14ac:dyDescent="0.2">
      <c r="A37" s="289" t="str">
        <f t="shared" si="4"/>
        <v>5|10</v>
      </c>
      <c r="B37" s="290" t="s">
        <v>158</v>
      </c>
      <c r="C37" s="285" t="s">
        <v>151</v>
      </c>
      <c r="D37" s="286"/>
      <c r="E37" s="292">
        <v>25</v>
      </c>
      <c r="F37" s="292">
        <v>30</v>
      </c>
      <c r="G37" s="292">
        <v>30</v>
      </c>
      <c r="H37" s="292">
        <v>15</v>
      </c>
      <c r="I37" s="292"/>
      <c r="J37" s="291"/>
      <c r="K37" s="291"/>
      <c r="L37" s="291"/>
      <c r="M37" s="291"/>
      <c r="N37" s="291"/>
      <c r="O37" s="291"/>
      <c r="P37" s="291"/>
      <c r="S37" s="51">
        <f t="shared" si="5"/>
        <v>100</v>
      </c>
    </row>
    <row r="38" spans="1:19" x14ac:dyDescent="0.2">
      <c r="A38" s="289" t="str">
        <f t="shared" si="4"/>
        <v>5|11</v>
      </c>
      <c r="B38" s="290" t="s">
        <v>164</v>
      </c>
      <c r="C38" s="285" t="s">
        <v>176</v>
      </c>
      <c r="D38" s="286"/>
      <c r="E38" s="292">
        <v>7</v>
      </c>
      <c r="F38" s="292">
        <v>21</v>
      </c>
      <c r="G38" s="292">
        <v>27</v>
      </c>
      <c r="H38" s="292">
        <v>28</v>
      </c>
      <c r="I38" s="292">
        <v>17</v>
      </c>
      <c r="J38" s="291"/>
      <c r="K38" s="291"/>
      <c r="L38" s="291"/>
      <c r="M38" s="291"/>
      <c r="N38" s="291"/>
      <c r="O38" s="291"/>
      <c r="P38" s="291"/>
      <c r="S38" s="51">
        <f t="shared" si="5"/>
        <v>100</v>
      </c>
    </row>
    <row r="39" spans="1:19" ht="5.45" customHeight="1" x14ac:dyDescent="0.2"/>
    <row r="40" spans="1:19" ht="13.5" thickBot="1" x14ac:dyDescent="0.25">
      <c r="A40" s="293" t="s">
        <v>35</v>
      </c>
      <c r="B40" s="294">
        <v>6</v>
      </c>
      <c r="C40" s="295"/>
      <c r="D40" s="296"/>
      <c r="E40" s="282"/>
      <c r="F40" s="282"/>
      <c r="G40" s="282"/>
      <c r="H40" s="282"/>
      <c r="I40" s="282"/>
      <c r="J40" s="282"/>
      <c r="K40" s="282"/>
      <c r="L40" s="282"/>
      <c r="M40" s="282"/>
      <c r="N40" s="282"/>
      <c r="O40" s="282"/>
      <c r="P40" s="282"/>
    </row>
    <row r="41" spans="1:19" ht="13.5" thickTop="1" x14ac:dyDescent="0.2">
      <c r="A41" s="297" t="str">
        <f>CONCATENATE($B$40,"|",B41)</f>
        <v>6|1</v>
      </c>
      <c r="B41" s="284">
        <v>1</v>
      </c>
      <c r="C41" s="285" t="s">
        <v>152</v>
      </c>
      <c r="D41" s="286">
        <v>1</v>
      </c>
      <c r="E41" s="287">
        <v>20</v>
      </c>
      <c r="F41" s="287">
        <v>30</v>
      </c>
      <c r="G41" s="287">
        <v>30</v>
      </c>
      <c r="H41" s="287">
        <v>20</v>
      </c>
      <c r="I41" s="287"/>
      <c r="J41" s="288"/>
      <c r="K41" s="288"/>
      <c r="L41" s="288"/>
      <c r="M41" s="288"/>
      <c r="N41" s="288"/>
      <c r="O41" s="288"/>
      <c r="P41" s="288"/>
      <c r="S41" s="51">
        <f>SUM(E41:P41)</f>
        <v>100</v>
      </c>
    </row>
    <row r="42" spans="1:19" x14ac:dyDescent="0.2">
      <c r="A42" s="289" t="str">
        <f>CONCATENATE($B$40,"|",B42)</f>
        <v>6|2</v>
      </c>
      <c r="B42" s="290" t="s">
        <v>89</v>
      </c>
      <c r="C42" s="285" t="s">
        <v>148</v>
      </c>
      <c r="D42" s="286">
        <v>2</v>
      </c>
      <c r="E42" s="287">
        <v>15</v>
      </c>
      <c r="F42" s="287">
        <v>25</v>
      </c>
      <c r="G42" s="287">
        <v>30</v>
      </c>
      <c r="H42" s="287">
        <v>25</v>
      </c>
      <c r="I42" s="287">
        <v>5</v>
      </c>
      <c r="J42" s="291"/>
      <c r="K42" s="291"/>
      <c r="L42" s="291"/>
      <c r="M42" s="291"/>
      <c r="N42" s="291"/>
      <c r="O42" s="291"/>
      <c r="P42" s="291"/>
      <c r="S42" s="51">
        <f t="shared" ref="S42:S51" si="6">SUM(E42:P42)</f>
        <v>100</v>
      </c>
    </row>
    <row r="43" spans="1:19" x14ac:dyDescent="0.2">
      <c r="A43" s="289" t="str">
        <f t="shared" ref="A43:A51" si="7">CONCATENATE($B$40,"|",B43)</f>
        <v>6|3</v>
      </c>
      <c r="B43" s="290" t="s">
        <v>93</v>
      </c>
      <c r="C43" s="285" t="s">
        <v>153</v>
      </c>
      <c r="D43" s="286">
        <v>3</v>
      </c>
      <c r="E43" s="292">
        <v>5</v>
      </c>
      <c r="F43" s="292">
        <v>20</v>
      </c>
      <c r="G43" s="292">
        <v>30</v>
      </c>
      <c r="H43" s="292">
        <v>25</v>
      </c>
      <c r="I43" s="292">
        <v>20</v>
      </c>
      <c r="J43" s="291"/>
      <c r="K43" s="291"/>
      <c r="L43" s="291"/>
      <c r="M43" s="291"/>
      <c r="N43" s="291"/>
      <c r="O43" s="291"/>
      <c r="P43" s="291"/>
      <c r="S43" s="51">
        <f t="shared" si="6"/>
        <v>100</v>
      </c>
    </row>
    <row r="44" spans="1:19" x14ac:dyDescent="0.2">
      <c r="A44" s="289" t="str">
        <f t="shared" si="7"/>
        <v>6|4</v>
      </c>
      <c r="B44" s="290" t="s">
        <v>96</v>
      </c>
      <c r="C44" s="285" t="s">
        <v>149</v>
      </c>
      <c r="D44" s="286">
        <v>4</v>
      </c>
      <c r="E44" s="292"/>
      <c r="F44" s="292">
        <v>5</v>
      </c>
      <c r="G44" s="292">
        <v>20</v>
      </c>
      <c r="H44" s="292">
        <v>30</v>
      </c>
      <c r="I44" s="292">
        <v>25</v>
      </c>
      <c r="J44" s="291">
        <v>20</v>
      </c>
      <c r="K44" s="291"/>
      <c r="L44" s="291"/>
      <c r="M44" s="291"/>
      <c r="N44" s="291"/>
      <c r="O44" s="291"/>
      <c r="P44" s="291"/>
      <c r="S44" s="51">
        <f t="shared" si="6"/>
        <v>100</v>
      </c>
    </row>
    <row r="45" spans="1:19" x14ac:dyDescent="0.2">
      <c r="A45" s="289" t="str">
        <f t="shared" si="7"/>
        <v>6|5</v>
      </c>
      <c r="B45" s="290" t="s">
        <v>88</v>
      </c>
      <c r="C45" s="285" t="s">
        <v>150</v>
      </c>
      <c r="D45" s="286">
        <v>5</v>
      </c>
      <c r="E45" s="292"/>
      <c r="F45" s="292">
        <v>15</v>
      </c>
      <c r="G45" s="292">
        <v>30</v>
      </c>
      <c r="H45" s="292">
        <v>30</v>
      </c>
      <c r="I45" s="292">
        <v>25</v>
      </c>
      <c r="J45" s="291"/>
      <c r="K45" s="291"/>
      <c r="L45" s="291"/>
      <c r="M45" s="291"/>
      <c r="N45" s="291"/>
      <c r="O45" s="291"/>
      <c r="P45" s="291"/>
      <c r="S45" s="51">
        <f t="shared" si="6"/>
        <v>100</v>
      </c>
    </row>
    <row r="46" spans="1:19" x14ac:dyDescent="0.2">
      <c r="A46" s="289" t="str">
        <f t="shared" si="7"/>
        <v>6|6</v>
      </c>
      <c r="B46" s="290" t="s">
        <v>97</v>
      </c>
      <c r="C46" s="285" t="s">
        <v>429</v>
      </c>
      <c r="D46" s="286">
        <v>3</v>
      </c>
      <c r="E46" s="292"/>
      <c r="F46" s="292">
        <v>5</v>
      </c>
      <c r="G46" s="292">
        <v>10</v>
      </c>
      <c r="H46" s="292">
        <v>30</v>
      </c>
      <c r="I46" s="292">
        <v>30</v>
      </c>
      <c r="J46" s="291">
        <v>25</v>
      </c>
      <c r="K46" s="291"/>
      <c r="L46" s="291"/>
      <c r="M46" s="291"/>
      <c r="N46" s="291"/>
      <c r="O46" s="291"/>
      <c r="P46" s="291"/>
      <c r="S46" s="51">
        <f t="shared" si="6"/>
        <v>100</v>
      </c>
    </row>
    <row r="47" spans="1:19" x14ac:dyDescent="0.2">
      <c r="A47" s="289" t="str">
        <f t="shared" si="7"/>
        <v>6|7</v>
      </c>
      <c r="B47" s="290" t="s">
        <v>147</v>
      </c>
      <c r="C47" s="285" t="s">
        <v>154</v>
      </c>
      <c r="D47" s="286">
        <v>5</v>
      </c>
      <c r="E47" s="292"/>
      <c r="F47" s="292"/>
      <c r="G47" s="292">
        <v>20</v>
      </c>
      <c r="H47" s="292">
        <v>20</v>
      </c>
      <c r="I47" s="292">
        <v>30</v>
      </c>
      <c r="J47" s="291">
        <v>30</v>
      </c>
      <c r="K47" s="291"/>
      <c r="L47" s="291"/>
      <c r="M47" s="291"/>
      <c r="N47" s="291"/>
      <c r="O47" s="291"/>
      <c r="P47" s="291"/>
      <c r="S47" s="51">
        <f t="shared" si="6"/>
        <v>100</v>
      </c>
    </row>
    <row r="48" spans="1:19" x14ac:dyDescent="0.2">
      <c r="A48" s="289" t="str">
        <f t="shared" si="7"/>
        <v>6|8</v>
      </c>
      <c r="B48" s="290" t="s">
        <v>108</v>
      </c>
      <c r="C48" s="285" t="s">
        <v>155</v>
      </c>
      <c r="D48" s="286">
        <v>6</v>
      </c>
      <c r="E48" s="292"/>
      <c r="F48" s="292"/>
      <c r="G48" s="292">
        <v>20</v>
      </c>
      <c r="H48" s="292">
        <v>30</v>
      </c>
      <c r="I48" s="292">
        <v>30</v>
      </c>
      <c r="J48" s="291">
        <v>20</v>
      </c>
      <c r="K48" s="291"/>
      <c r="L48" s="291"/>
      <c r="M48" s="291"/>
      <c r="N48" s="291"/>
      <c r="O48" s="291"/>
      <c r="P48" s="291"/>
      <c r="S48" s="51">
        <f t="shared" si="6"/>
        <v>100</v>
      </c>
    </row>
    <row r="49" spans="1:19" x14ac:dyDescent="0.2">
      <c r="A49" s="289" t="str">
        <f t="shared" si="7"/>
        <v>6|9</v>
      </c>
      <c r="B49" s="290" t="s">
        <v>156</v>
      </c>
      <c r="C49" s="285" t="s">
        <v>157</v>
      </c>
      <c r="D49" s="286">
        <v>6</v>
      </c>
      <c r="E49" s="292">
        <v>5</v>
      </c>
      <c r="F49" s="292">
        <v>15</v>
      </c>
      <c r="G49" s="292">
        <v>25</v>
      </c>
      <c r="H49" s="292">
        <v>25</v>
      </c>
      <c r="I49" s="292">
        <v>20</v>
      </c>
      <c r="J49" s="291">
        <v>10</v>
      </c>
      <c r="K49" s="291"/>
      <c r="L49" s="291"/>
      <c r="M49" s="291"/>
      <c r="N49" s="291"/>
      <c r="O49" s="291"/>
      <c r="P49" s="291"/>
      <c r="S49" s="51">
        <f t="shared" si="6"/>
        <v>100</v>
      </c>
    </row>
    <row r="50" spans="1:19" x14ac:dyDescent="0.2">
      <c r="A50" s="289" t="str">
        <f t="shared" si="7"/>
        <v>6|10</v>
      </c>
      <c r="B50" s="290" t="s">
        <v>158</v>
      </c>
      <c r="C50" s="285" t="s">
        <v>151</v>
      </c>
      <c r="D50" s="286"/>
      <c r="E50" s="292">
        <v>20</v>
      </c>
      <c r="F50" s="292">
        <v>30</v>
      </c>
      <c r="G50" s="292">
        <v>30</v>
      </c>
      <c r="H50" s="292">
        <v>15</v>
      </c>
      <c r="I50" s="292">
        <v>5</v>
      </c>
      <c r="J50" s="291"/>
      <c r="K50" s="291"/>
      <c r="L50" s="291"/>
      <c r="M50" s="291"/>
      <c r="N50" s="291"/>
      <c r="O50" s="291"/>
      <c r="P50" s="291"/>
      <c r="S50" s="51">
        <f t="shared" si="6"/>
        <v>100</v>
      </c>
    </row>
    <row r="51" spans="1:19" x14ac:dyDescent="0.2">
      <c r="A51" s="289" t="str">
        <f t="shared" si="7"/>
        <v>6|11</v>
      </c>
      <c r="B51" s="290" t="s">
        <v>164</v>
      </c>
      <c r="C51" s="285" t="s">
        <v>176</v>
      </c>
      <c r="D51" s="286"/>
      <c r="E51" s="292">
        <v>3</v>
      </c>
      <c r="F51" s="292">
        <v>12</v>
      </c>
      <c r="G51" s="292">
        <v>25</v>
      </c>
      <c r="H51" s="292">
        <v>28</v>
      </c>
      <c r="I51" s="292">
        <v>21</v>
      </c>
      <c r="J51" s="291">
        <v>11</v>
      </c>
      <c r="K51" s="291"/>
      <c r="L51" s="291"/>
      <c r="M51" s="291"/>
      <c r="N51" s="291"/>
      <c r="O51" s="291"/>
      <c r="P51" s="291"/>
      <c r="S51" s="51">
        <f t="shared" si="6"/>
        <v>100</v>
      </c>
    </row>
    <row r="52" spans="1:19" ht="5.45" customHeight="1" x14ac:dyDescent="0.2"/>
    <row r="53" spans="1:19" ht="13.5" thickBot="1" x14ac:dyDescent="0.25">
      <c r="A53" s="293" t="s">
        <v>35</v>
      </c>
      <c r="B53" s="294">
        <v>7</v>
      </c>
      <c r="C53" s="295"/>
      <c r="D53" s="296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</row>
    <row r="54" spans="1:19" ht="13.5" thickTop="1" x14ac:dyDescent="0.2">
      <c r="A54" s="297" t="str">
        <f>CONCATENATE($B$53,"|",B54)</f>
        <v>7|1</v>
      </c>
      <c r="B54" s="284">
        <v>1</v>
      </c>
      <c r="C54" s="285" t="s">
        <v>152</v>
      </c>
      <c r="D54" s="286">
        <v>1</v>
      </c>
      <c r="E54" s="287">
        <v>15</v>
      </c>
      <c r="F54" s="287">
        <v>30</v>
      </c>
      <c r="G54" s="287">
        <v>30</v>
      </c>
      <c r="H54" s="287">
        <v>20</v>
      </c>
      <c r="I54" s="287">
        <v>5</v>
      </c>
      <c r="J54" s="288"/>
      <c r="K54" s="288"/>
      <c r="L54" s="288"/>
      <c r="M54" s="288"/>
      <c r="N54" s="288"/>
      <c r="O54" s="288"/>
      <c r="P54" s="288"/>
      <c r="S54" s="51">
        <f>SUM(E54:P54)</f>
        <v>100</v>
      </c>
    </row>
    <row r="55" spans="1:19" x14ac:dyDescent="0.2">
      <c r="A55" s="289" t="str">
        <f>CONCATENATE($B$53,"|",B55)</f>
        <v>7|2</v>
      </c>
      <c r="B55" s="290" t="s">
        <v>89</v>
      </c>
      <c r="C55" s="285" t="s">
        <v>148</v>
      </c>
      <c r="D55" s="286">
        <v>2</v>
      </c>
      <c r="E55" s="287">
        <v>15</v>
      </c>
      <c r="F55" s="287">
        <v>20</v>
      </c>
      <c r="G55" s="287">
        <v>25</v>
      </c>
      <c r="H55" s="287">
        <v>25</v>
      </c>
      <c r="I55" s="287">
        <v>15</v>
      </c>
      <c r="J55" s="291"/>
      <c r="K55" s="291"/>
      <c r="L55" s="291"/>
      <c r="M55" s="291"/>
      <c r="N55" s="291"/>
      <c r="O55" s="291"/>
      <c r="P55" s="291"/>
      <c r="S55" s="51">
        <f t="shared" ref="S55:S64" si="8">SUM(E55:P55)</f>
        <v>100</v>
      </c>
    </row>
    <row r="56" spans="1:19" x14ac:dyDescent="0.2">
      <c r="A56" s="289" t="str">
        <f t="shared" ref="A56:A64" si="9">CONCATENATE($B$53,"|",B56)</f>
        <v>7|3</v>
      </c>
      <c r="B56" s="290" t="s">
        <v>93</v>
      </c>
      <c r="C56" s="285" t="s">
        <v>153</v>
      </c>
      <c r="D56" s="286">
        <v>3</v>
      </c>
      <c r="E56" s="292">
        <v>5</v>
      </c>
      <c r="F56" s="292">
        <v>15</v>
      </c>
      <c r="G56" s="292">
        <v>20</v>
      </c>
      <c r="H56" s="292">
        <v>25</v>
      </c>
      <c r="I56" s="292">
        <v>20</v>
      </c>
      <c r="J56" s="291">
        <v>15</v>
      </c>
      <c r="K56" s="291"/>
      <c r="L56" s="291"/>
      <c r="M56" s="291"/>
      <c r="N56" s="291"/>
      <c r="O56" s="291"/>
      <c r="P56" s="291"/>
      <c r="S56" s="51">
        <f t="shared" si="8"/>
        <v>100</v>
      </c>
    </row>
    <row r="57" spans="1:19" x14ac:dyDescent="0.2">
      <c r="A57" s="289" t="str">
        <f t="shared" si="9"/>
        <v>7|4</v>
      </c>
      <c r="B57" s="290" t="s">
        <v>96</v>
      </c>
      <c r="C57" s="285" t="s">
        <v>149</v>
      </c>
      <c r="D57" s="286">
        <v>4</v>
      </c>
      <c r="E57" s="292"/>
      <c r="F57" s="292"/>
      <c r="G57" s="292">
        <v>15</v>
      </c>
      <c r="H57" s="292">
        <v>25</v>
      </c>
      <c r="I57" s="292">
        <v>25</v>
      </c>
      <c r="J57" s="291">
        <v>25</v>
      </c>
      <c r="K57" s="291">
        <v>10</v>
      </c>
      <c r="L57" s="291"/>
      <c r="M57" s="291"/>
      <c r="N57" s="291"/>
      <c r="O57" s="291"/>
      <c r="P57" s="291"/>
      <c r="S57" s="51">
        <f t="shared" si="8"/>
        <v>100</v>
      </c>
    </row>
    <row r="58" spans="1:19" x14ac:dyDescent="0.2">
      <c r="A58" s="289" t="str">
        <f t="shared" si="9"/>
        <v>7|5</v>
      </c>
      <c r="B58" s="290" t="s">
        <v>88</v>
      </c>
      <c r="C58" s="285" t="s">
        <v>150</v>
      </c>
      <c r="D58" s="286">
        <v>5</v>
      </c>
      <c r="E58" s="292"/>
      <c r="F58" s="292">
        <v>10</v>
      </c>
      <c r="G58" s="292">
        <v>15</v>
      </c>
      <c r="H58" s="292">
        <v>30</v>
      </c>
      <c r="I58" s="292">
        <v>30</v>
      </c>
      <c r="J58" s="291">
        <v>15</v>
      </c>
      <c r="K58" s="291"/>
      <c r="L58" s="291"/>
      <c r="M58" s="291"/>
      <c r="N58" s="291"/>
      <c r="O58" s="291"/>
      <c r="P58" s="291"/>
      <c r="S58" s="51">
        <f t="shared" si="8"/>
        <v>100</v>
      </c>
    </row>
    <row r="59" spans="1:19" x14ac:dyDescent="0.2">
      <c r="A59" s="289" t="str">
        <f t="shared" si="9"/>
        <v>7|6</v>
      </c>
      <c r="B59" s="290" t="s">
        <v>97</v>
      </c>
      <c r="C59" s="285" t="s">
        <v>429</v>
      </c>
      <c r="D59" s="286">
        <v>3</v>
      </c>
      <c r="E59" s="292"/>
      <c r="F59" s="292">
        <v>5</v>
      </c>
      <c r="G59" s="292">
        <v>10</v>
      </c>
      <c r="H59" s="292">
        <v>25</v>
      </c>
      <c r="I59" s="292">
        <v>25</v>
      </c>
      <c r="J59" s="291">
        <v>20</v>
      </c>
      <c r="K59" s="291">
        <v>15</v>
      </c>
      <c r="L59" s="291"/>
      <c r="M59" s="291"/>
      <c r="N59" s="291"/>
      <c r="O59" s="291"/>
      <c r="P59" s="291"/>
      <c r="S59" s="51">
        <f t="shared" si="8"/>
        <v>100</v>
      </c>
    </row>
    <row r="60" spans="1:19" x14ac:dyDescent="0.2">
      <c r="A60" s="289" t="str">
        <f t="shared" si="9"/>
        <v>7|7</v>
      </c>
      <c r="B60" s="290" t="s">
        <v>147</v>
      </c>
      <c r="C60" s="285" t="s">
        <v>154</v>
      </c>
      <c r="D60" s="286">
        <v>5</v>
      </c>
      <c r="E60" s="292"/>
      <c r="F60" s="292"/>
      <c r="G60" s="292">
        <v>15</v>
      </c>
      <c r="H60" s="292">
        <v>15</v>
      </c>
      <c r="I60" s="292">
        <v>25</v>
      </c>
      <c r="J60" s="292">
        <v>25</v>
      </c>
      <c r="K60" s="291">
        <v>20</v>
      </c>
      <c r="L60" s="291"/>
      <c r="M60" s="291"/>
      <c r="N60" s="291"/>
      <c r="O60" s="291"/>
      <c r="P60" s="291"/>
      <c r="S60" s="51">
        <f t="shared" si="8"/>
        <v>100</v>
      </c>
    </row>
    <row r="61" spans="1:19" x14ac:dyDescent="0.2">
      <c r="A61" s="289" t="str">
        <f t="shared" si="9"/>
        <v>7|8</v>
      </c>
      <c r="B61" s="290" t="s">
        <v>108</v>
      </c>
      <c r="C61" s="285" t="s">
        <v>155</v>
      </c>
      <c r="D61" s="286">
        <v>6</v>
      </c>
      <c r="E61" s="292"/>
      <c r="F61" s="292"/>
      <c r="G61" s="292">
        <v>10</v>
      </c>
      <c r="H61" s="292">
        <v>20</v>
      </c>
      <c r="I61" s="292">
        <v>20</v>
      </c>
      <c r="J61" s="291">
        <v>30</v>
      </c>
      <c r="K61" s="291">
        <v>20</v>
      </c>
      <c r="L61" s="291"/>
      <c r="M61" s="291"/>
      <c r="N61" s="291"/>
      <c r="O61" s="291"/>
      <c r="P61" s="291"/>
      <c r="S61" s="51">
        <f t="shared" si="8"/>
        <v>100</v>
      </c>
    </row>
    <row r="62" spans="1:19" x14ac:dyDescent="0.2">
      <c r="A62" s="289" t="str">
        <f t="shared" si="9"/>
        <v>7|9</v>
      </c>
      <c r="B62" s="290" t="s">
        <v>156</v>
      </c>
      <c r="C62" s="285" t="s">
        <v>157</v>
      </c>
      <c r="D62" s="286">
        <v>6</v>
      </c>
      <c r="E62" s="292">
        <v>5</v>
      </c>
      <c r="F62" s="292">
        <v>10</v>
      </c>
      <c r="G62" s="292">
        <v>20</v>
      </c>
      <c r="H62" s="292">
        <v>20</v>
      </c>
      <c r="I62" s="292">
        <v>20</v>
      </c>
      <c r="J62" s="291">
        <v>15</v>
      </c>
      <c r="K62" s="291">
        <v>10</v>
      </c>
      <c r="L62" s="291"/>
      <c r="M62" s="291"/>
      <c r="N62" s="291"/>
      <c r="O62" s="291"/>
      <c r="P62" s="291"/>
      <c r="S62" s="51">
        <f t="shared" si="8"/>
        <v>100</v>
      </c>
    </row>
    <row r="63" spans="1:19" x14ac:dyDescent="0.2">
      <c r="A63" s="289" t="str">
        <f t="shared" si="9"/>
        <v>7|10</v>
      </c>
      <c r="B63" s="290" t="s">
        <v>158</v>
      </c>
      <c r="C63" s="285" t="s">
        <v>151</v>
      </c>
      <c r="D63" s="286"/>
      <c r="E63" s="292">
        <v>15</v>
      </c>
      <c r="F63" s="292">
        <v>25</v>
      </c>
      <c r="G63" s="292">
        <v>25</v>
      </c>
      <c r="H63" s="292">
        <v>20</v>
      </c>
      <c r="I63" s="292">
        <v>10</v>
      </c>
      <c r="J63" s="291">
        <v>5</v>
      </c>
      <c r="K63" s="291"/>
      <c r="L63" s="291"/>
      <c r="M63" s="291"/>
      <c r="N63" s="291"/>
      <c r="O63" s="291"/>
      <c r="P63" s="291"/>
      <c r="S63" s="51">
        <f t="shared" si="8"/>
        <v>100</v>
      </c>
    </row>
    <row r="64" spans="1:19" x14ac:dyDescent="0.2">
      <c r="A64" s="289" t="str">
        <f t="shared" si="9"/>
        <v>7|11</v>
      </c>
      <c r="B64" s="290" t="s">
        <v>164</v>
      </c>
      <c r="C64" s="285" t="s">
        <v>176</v>
      </c>
      <c r="D64" s="286"/>
      <c r="E64" s="292">
        <v>2</v>
      </c>
      <c r="F64" s="292">
        <v>8</v>
      </c>
      <c r="G64" s="292">
        <v>18</v>
      </c>
      <c r="H64" s="292">
        <v>20</v>
      </c>
      <c r="I64" s="292">
        <v>20</v>
      </c>
      <c r="J64" s="291">
        <v>20</v>
      </c>
      <c r="K64" s="291">
        <v>12</v>
      </c>
      <c r="L64" s="291"/>
      <c r="M64" s="291"/>
      <c r="N64" s="291"/>
      <c r="O64" s="291"/>
      <c r="P64" s="291"/>
      <c r="S64" s="51">
        <f t="shared" si="8"/>
        <v>100</v>
      </c>
    </row>
    <row r="65" spans="1:19" ht="5.45" customHeight="1" x14ac:dyDescent="0.2"/>
    <row r="66" spans="1:19" ht="13.5" thickBot="1" x14ac:dyDescent="0.25">
      <c r="A66" s="293" t="s">
        <v>35</v>
      </c>
      <c r="B66" s="294">
        <v>8</v>
      </c>
      <c r="C66" s="295"/>
      <c r="D66" s="296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</row>
    <row r="67" spans="1:19" ht="13.5" thickTop="1" x14ac:dyDescent="0.2">
      <c r="A67" s="297" t="str">
        <f>CONCATENATE($B$66,"|",B67)</f>
        <v>8|1</v>
      </c>
      <c r="B67" s="284">
        <v>1</v>
      </c>
      <c r="C67" s="285" t="s">
        <v>152</v>
      </c>
      <c r="D67" s="286">
        <v>1</v>
      </c>
      <c r="E67" s="287">
        <v>15</v>
      </c>
      <c r="F67" s="287">
        <v>20</v>
      </c>
      <c r="G67" s="287">
        <v>25</v>
      </c>
      <c r="H67" s="287">
        <v>25</v>
      </c>
      <c r="I67" s="287">
        <v>10</v>
      </c>
      <c r="J67" s="288">
        <v>5</v>
      </c>
      <c r="K67" s="288"/>
      <c r="L67" s="288"/>
      <c r="M67" s="288"/>
      <c r="N67" s="288"/>
      <c r="O67" s="288"/>
      <c r="P67" s="288"/>
      <c r="S67" s="51">
        <f>SUM(E67:P67)</f>
        <v>100</v>
      </c>
    </row>
    <row r="68" spans="1:19" x14ac:dyDescent="0.2">
      <c r="A68" s="289" t="str">
        <f>CONCATENATE($B$66,"|",B68)</f>
        <v>8|2</v>
      </c>
      <c r="B68" s="290" t="s">
        <v>89</v>
      </c>
      <c r="C68" s="285" t="s">
        <v>148</v>
      </c>
      <c r="D68" s="286">
        <v>2</v>
      </c>
      <c r="E68" s="287">
        <v>15</v>
      </c>
      <c r="F68" s="287">
        <v>20</v>
      </c>
      <c r="G68" s="287">
        <v>25</v>
      </c>
      <c r="H68" s="287">
        <v>25</v>
      </c>
      <c r="I68" s="287">
        <v>10</v>
      </c>
      <c r="J68" s="291">
        <v>5</v>
      </c>
      <c r="K68" s="291"/>
      <c r="L68" s="291"/>
      <c r="M68" s="291"/>
      <c r="N68" s="291"/>
      <c r="O68" s="291"/>
      <c r="P68" s="291"/>
      <c r="S68" s="51">
        <f t="shared" ref="S68:S77" si="10">SUM(E68:P68)</f>
        <v>100</v>
      </c>
    </row>
    <row r="69" spans="1:19" x14ac:dyDescent="0.2">
      <c r="A69" s="289" t="str">
        <f t="shared" ref="A69:A77" si="11">CONCATENATE($B$66,"|",B69)</f>
        <v>8|3</v>
      </c>
      <c r="B69" s="290" t="s">
        <v>93</v>
      </c>
      <c r="C69" s="285" t="s">
        <v>153</v>
      </c>
      <c r="D69" s="286">
        <v>3</v>
      </c>
      <c r="E69" s="292">
        <v>5</v>
      </c>
      <c r="F69" s="292">
        <v>10</v>
      </c>
      <c r="G69" s="292">
        <v>15</v>
      </c>
      <c r="H69" s="292">
        <v>20</v>
      </c>
      <c r="I69" s="292">
        <v>20</v>
      </c>
      <c r="J69" s="291">
        <v>20</v>
      </c>
      <c r="K69" s="291">
        <v>10</v>
      </c>
      <c r="L69" s="291"/>
      <c r="M69" s="291"/>
      <c r="N69" s="291"/>
      <c r="O69" s="291"/>
      <c r="P69" s="291"/>
      <c r="S69" s="51">
        <f t="shared" si="10"/>
        <v>100</v>
      </c>
    </row>
    <row r="70" spans="1:19" x14ac:dyDescent="0.2">
      <c r="A70" s="289" t="str">
        <f t="shared" si="11"/>
        <v>8|4</v>
      </c>
      <c r="B70" s="290" t="s">
        <v>96</v>
      </c>
      <c r="C70" s="285" t="s">
        <v>149</v>
      </c>
      <c r="D70" s="286">
        <v>4</v>
      </c>
      <c r="E70" s="292"/>
      <c r="F70" s="292"/>
      <c r="G70" s="292">
        <v>10</v>
      </c>
      <c r="H70" s="292">
        <v>25</v>
      </c>
      <c r="I70" s="292">
        <v>25</v>
      </c>
      <c r="J70" s="291">
        <v>20</v>
      </c>
      <c r="K70" s="291">
        <v>10</v>
      </c>
      <c r="L70" s="291">
        <v>10</v>
      </c>
      <c r="M70" s="291"/>
      <c r="N70" s="291"/>
      <c r="O70" s="291"/>
      <c r="P70" s="291"/>
      <c r="S70" s="51">
        <f t="shared" si="10"/>
        <v>100</v>
      </c>
    </row>
    <row r="71" spans="1:19" x14ac:dyDescent="0.2">
      <c r="A71" s="289" t="str">
        <f t="shared" si="11"/>
        <v>8|5</v>
      </c>
      <c r="B71" s="290" t="s">
        <v>88</v>
      </c>
      <c r="C71" s="285" t="s">
        <v>150</v>
      </c>
      <c r="D71" s="286">
        <v>5</v>
      </c>
      <c r="E71" s="292"/>
      <c r="F71" s="292">
        <v>5</v>
      </c>
      <c r="G71" s="292">
        <v>15</v>
      </c>
      <c r="H71" s="292">
        <v>25</v>
      </c>
      <c r="I71" s="292">
        <v>25</v>
      </c>
      <c r="J71" s="291">
        <v>15</v>
      </c>
      <c r="K71" s="291">
        <v>15</v>
      </c>
      <c r="L71" s="291"/>
      <c r="M71" s="291"/>
      <c r="N71" s="291"/>
      <c r="O71" s="291"/>
      <c r="P71" s="291"/>
      <c r="S71" s="51">
        <f t="shared" si="10"/>
        <v>100</v>
      </c>
    </row>
    <row r="72" spans="1:19" x14ac:dyDescent="0.2">
      <c r="A72" s="289" t="str">
        <f t="shared" si="11"/>
        <v>8|6</v>
      </c>
      <c r="B72" s="290" t="s">
        <v>97</v>
      </c>
      <c r="C72" s="285" t="s">
        <v>429</v>
      </c>
      <c r="D72" s="286">
        <v>3</v>
      </c>
      <c r="E72" s="292"/>
      <c r="F72" s="292"/>
      <c r="G72" s="292">
        <v>5</v>
      </c>
      <c r="H72" s="292">
        <v>20</v>
      </c>
      <c r="I72" s="292">
        <v>20</v>
      </c>
      <c r="J72" s="291">
        <v>25</v>
      </c>
      <c r="K72" s="291">
        <v>20</v>
      </c>
      <c r="L72" s="291">
        <v>10</v>
      </c>
      <c r="M72" s="291"/>
      <c r="N72" s="291"/>
      <c r="O72" s="291"/>
      <c r="P72" s="291"/>
      <c r="S72" s="51">
        <f t="shared" si="10"/>
        <v>100</v>
      </c>
    </row>
    <row r="73" spans="1:19" x14ac:dyDescent="0.2">
      <c r="A73" s="289" t="str">
        <f t="shared" si="11"/>
        <v>8|7</v>
      </c>
      <c r="B73" s="290" t="s">
        <v>147</v>
      </c>
      <c r="C73" s="285" t="s">
        <v>154</v>
      </c>
      <c r="D73" s="286">
        <v>5</v>
      </c>
      <c r="E73" s="292"/>
      <c r="F73" s="292"/>
      <c r="G73" s="292">
        <v>5</v>
      </c>
      <c r="H73" s="292">
        <v>15</v>
      </c>
      <c r="I73" s="292">
        <v>20</v>
      </c>
      <c r="J73" s="292">
        <v>25</v>
      </c>
      <c r="K73" s="292">
        <v>25</v>
      </c>
      <c r="L73" s="292">
        <v>10</v>
      </c>
      <c r="M73" s="291"/>
      <c r="N73" s="291"/>
      <c r="O73" s="291"/>
      <c r="P73" s="291"/>
      <c r="S73" s="51">
        <f t="shared" si="10"/>
        <v>100</v>
      </c>
    </row>
    <row r="74" spans="1:19" x14ac:dyDescent="0.2">
      <c r="A74" s="289" t="str">
        <f t="shared" si="11"/>
        <v>8|8</v>
      </c>
      <c r="B74" s="290" t="s">
        <v>108</v>
      </c>
      <c r="C74" s="285" t="s">
        <v>155</v>
      </c>
      <c r="D74" s="286">
        <v>6</v>
      </c>
      <c r="E74" s="292"/>
      <c r="F74" s="292"/>
      <c r="G74" s="292"/>
      <c r="H74" s="292">
        <v>20</v>
      </c>
      <c r="I74" s="292">
        <v>20</v>
      </c>
      <c r="J74" s="291">
        <v>30</v>
      </c>
      <c r="K74" s="291">
        <v>20</v>
      </c>
      <c r="L74" s="291">
        <v>10</v>
      </c>
      <c r="M74" s="291"/>
      <c r="N74" s="291"/>
      <c r="O74" s="291"/>
      <c r="P74" s="291"/>
      <c r="S74" s="51">
        <f t="shared" si="10"/>
        <v>100</v>
      </c>
    </row>
    <row r="75" spans="1:19" x14ac:dyDescent="0.2">
      <c r="A75" s="289" t="str">
        <f t="shared" si="11"/>
        <v>8|9</v>
      </c>
      <c r="B75" s="290" t="s">
        <v>156</v>
      </c>
      <c r="C75" s="285" t="s">
        <v>157</v>
      </c>
      <c r="D75" s="286">
        <v>6</v>
      </c>
      <c r="E75" s="292">
        <v>5</v>
      </c>
      <c r="F75" s="292">
        <v>5</v>
      </c>
      <c r="G75" s="292">
        <v>10</v>
      </c>
      <c r="H75" s="292">
        <v>15</v>
      </c>
      <c r="I75" s="292">
        <v>20</v>
      </c>
      <c r="J75" s="291">
        <v>20</v>
      </c>
      <c r="K75" s="291">
        <v>15</v>
      </c>
      <c r="L75" s="291">
        <v>10</v>
      </c>
      <c r="M75" s="291"/>
      <c r="N75" s="291"/>
      <c r="O75" s="291"/>
      <c r="P75" s="291"/>
      <c r="S75" s="51">
        <f t="shared" si="10"/>
        <v>100</v>
      </c>
    </row>
    <row r="76" spans="1:19" x14ac:dyDescent="0.2">
      <c r="A76" s="289" t="str">
        <f t="shared" si="11"/>
        <v>8|10</v>
      </c>
      <c r="B76" s="290" t="s">
        <v>158</v>
      </c>
      <c r="C76" s="285" t="s">
        <v>151</v>
      </c>
      <c r="D76" s="286"/>
      <c r="E76" s="292">
        <v>15</v>
      </c>
      <c r="F76" s="292">
        <v>20</v>
      </c>
      <c r="G76" s="292">
        <v>20</v>
      </c>
      <c r="H76" s="292">
        <v>20</v>
      </c>
      <c r="I76" s="292">
        <v>15</v>
      </c>
      <c r="J76" s="291">
        <v>10</v>
      </c>
      <c r="K76" s="291"/>
      <c r="L76" s="291"/>
      <c r="M76" s="291"/>
      <c r="N76" s="291"/>
      <c r="O76" s="291"/>
      <c r="P76" s="291"/>
      <c r="S76" s="51">
        <f t="shared" si="10"/>
        <v>100</v>
      </c>
    </row>
    <row r="77" spans="1:19" x14ac:dyDescent="0.2">
      <c r="A77" s="289" t="str">
        <f t="shared" si="11"/>
        <v>8|11</v>
      </c>
      <c r="B77" s="290" t="s">
        <v>164</v>
      </c>
      <c r="C77" s="285" t="s">
        <v>176</v>
      </c>
      <c r="D77" s="286"/>
      <c r="E77" s="292">
        <v>2</v>
      </c>
      <c r="F77" s="292">
        <v>2</v>
      </c>
      <c r="G77" s="292">
        <v>13</v>
      </c>
      <c r="H77" s="292">
        <v>15</v>
      </c>
      <c r="I77" s="292">
        <v>15</v>
      </c>
      <c r="J77" s="291">
        <v>22</v>
      </c>
      <c r="K77" s="291">
        <v>23</v>
      </c>
      <c r="L77" s="291">
        <v>8</v>
      </c>
      <c r="M77" s="291"/>
      <c r="N77" s="291"/>
      <c r="O77" s="291"/>
      <c r="P77" s="291"/>
      <c r="S77" s="51">
        <f t="shared" si="10"/>
        <v>100</v>
      </c>
    </row>
    <row r="78" spans="1:19" ht="5.45" customHeight="1" x14ac:dyDescent="0.2"/>
    <row r="79" spans="1:19" ht="13.5" thickBot="1" x14ac:dyDescent="0.25">
      <c r="A79" s="293" t="s">
        <v>35</v>
      </c>
      <c r="B79" s="294">
        <v>9</v>
      </c>
      <c r="C79" s="295"/>
      <c r="D79" s="296"/>
      <c r="E79" s="282"/>
      <c r="F79" s="282"/>
      <c r="G79" s="282"/>
      <c r="H79" s="282"/>
      <c r="I79" s="282"/>
      <c r="J79" s="282"/>
      <c r="K79" s="282"/>
      <c r="L79" s="282"/>
      <c r="M79" s="282"/>
      <c r="N79" s="282"/>
      <c r="O79" s="282"/>
      <c r="P79" s="282"/>
    </row>
    <row r="80" spans="1:19" ht="13.5" thickTop="1" x14ac:dyDescent="0.2">
      <c r="A80" s="297" t="str">
        <f>CONCATENATE($B$79,"|",B80)</f>
        <v>9|1</v>
      </c>
      <c r="B80" s="284">
        <v>1</v>
      </c>
      <c r="C80" s="285" t="s">
        <v>152</v>
      </c>
      <c r="D80" s="286">
        <v>1</v>
      </c>
      <c r="E80" s="287">
        <v>15</v>
      </c>
      <c r="F80" s="287">
        <v>15</v>
      </c>
      <c r="G80" s="287">
        <v>20</v>
      </c>
      <c r="H80" s="287">
        <v>20</v>
      </c>
      <c r="I80" s="287">
        <v>20</v>
      </c>
      <c r="J80" s="288">
        <v>10</v>
      </c>
      <c r="K80" s="288"/>
      <c r="L80" s="288"/>
      <c r="M80" s="288"/>
      <c r="N80" s="288"/>
      <c r="O80" s="288"/>
      <c r="P80" s="288"/>
      <c r="S80" s="51">
        <f>SUM(E80:P80)</f>
        <v>100</v>
      </c>
    </row>
    <row r="81" spans="1:19" x14ac:dyDescent="0.2">
      <c r="A81" s="289" t="str">
        <f>CONCATENATE($B$79,"|",B81)</f>
        <v>9|2</v>
      </c>
      <c r="B81" s="290" t="s">
        <v>89</v>
      </c>
      <c r="C81" s="285" t="s">
        <v>148</v>
      </c>
      <c r="D81" s="286">
        <v>2</v>
      </c>
      <c r="E81" s="287">
        <v>10</v>
      </c>
      <c r="F81" s="287">
        <v>15</v>
      </c>
      <c r="G81" s="287">
        <v>20</v>
      </c>
      <c r="H81" s="287">
        <v>20</v>
      </c>
      <c r="I81" s="287">
        <v>15</v>
      </c>
      <c r="J81" s="291">
        <v>15</v>
      </c>
      <c r="K81" s="291">
        <v>5</v>
      </c>
      <c r="L81" s="291"/>
      <c r="M81" s="291"/>
      <c r="N81" s="291"/>
      <c r="O81" s="291"/>
      <c r="P81" s="291"/>
      <c r="S81" s="51">
        <f t="shared" ref="S81:S90" si="12">SUM(E81:P81)</f>
        <v>100</v>
      </c>
    </row>
    <row r="82" spans="1:19" x14ac:dyDescent="0.2">
      <c r="A82" s="289" t="str">
        <f t="shared" ref="A82:A90" si="13">CONCATENATE($B$79,"|",B82)</f>
        <v>9|3</v>
      </c>
      <c r="B82" s="290" t="s">
        <v>93</v>
      </c>
      <c r="C82" s="285" t="s">
        <v>153</v>
      </c>
      <c r="D82" s="286">
        <v>3</v>
      </c>
      <c r="E82" s="292">
        <v>5</v>
      </c>
      <c r="F82" s="292">
        <v>10</v>
      </c>
      <c r="G82" s="292">
        <v>15</v>
      </c>
      <c r="H82" s="292">
        <v>20</v>
      </c>
      <c r="I82" s="292">
        <v>20</v>
      </c>
      <c r="J82" s="291">
        <v>10</v>
      </c>
      <c r="K82" s="291">
        <v>10</v>
      </c>
      <c r="L82" s="291">
        <v>10</v>
      </c>
      <c r="M82" s="291"/>
      <c r="N82" s="291"/>
      <c r="O82" s="291"/>
      <c r="P82" s="291"/>
      <c r="S82" s="51">
        <f t="shared" si="12"/>
        <v>100</v>
      </c>
    </row>
    <row r="83" spans="1:19" x14ac:dyDescent="0.2">
      <c r="A83" s="289" t="str">
        <f t="shared" si="13"/>
        <v>9|4</v>
      </c>
      <c r="B83" s="290" t="s">
        <v>96</v>
      </c>
      <c r="C83" s="285" t="s">
        <v>149</v>
      </c>
      <c r="D83" s="286">
        <v>4</v>
      </c>
      <c r="E83" s="292"/>
      <c r="F83" s="292"/>
      <c r="G83" s="292">
        <v>5</v>
      </c>
      <c r="H83" s="292">
        <v>15</v>
      </c>
      <c r="I83" s="292">
        <v>20</v>
      </c>
      <c r="J83" s="291">
        <v>20</v>
      </c>
      <c r="K83" s="291">
        <v>20</v>
      </c>
      <c r="L83" s="291">
        <v>15</v>
      </c>
      <c r="M83" s="291">
        <v>5</v>
      </c>
      <c r="N83" s="291"/>
      <c r="O83" s="291"/>
      <c r="P83" s="291"/>
      <c r="S83" s="51">
        <f t="shared" si="12"/>
        <v>100</v>
      </c>
    </row>
    <row r="84" spans="1:19" x14ac:dyDescent="0.2">
      <c r="A84" s="289" t="str">
        <f t="shared" si="13"/>
        <v>9|5</v>
      </c>
      <c r="B84" s="290" t="s">
        <v>88</v>
      </c>
      <c r="C84" s="285" t="s">
        <v>150</v>
      </c>
      <c r="D84" s="286">
        <v>5</v>
      </c>
      <c r="E84" s="292"/>
      <c r="F84" s="292">
        <v>5</v>
      </c>
      <c r="G84" s="292">
        <v>10</v>
      </c>
      <c r="H84" s="292">
        <v>15</v>
      </c>
      <c r="I84" s="292">
        <v>20</v>
      </c>
      <c r="J84" s="291">
        <v>20</v>
      </c>
      <c r="K84" s="291">
        <v>20</v>
      </c>
      <c r="L84" s="291">
        <v>10</v>
      </c>
      <c r="M84" s="291"/>
      <c r="N84" s="291"/>
      <c r="O84" s="291"/>
      <c r="P84" s="291"/>
      <c r="S84" s="51">
        <f t="shared" si="12"/>
        <v>100</v>
      </c>
    </row>
    <row r="85" spans="1:19" x14ac:dyDescent="0.2">
      <c r="A85" s="289" t="str">
        <f t="shared" si="13"/>
        <v>9|6</v>
      </c>
      <c r="B85" s="290" t="s">
        <v>97</v>
      </c>
      <c r="C85" s="285" t="s">
        <v>429</v>
      </c>
      <c r="D85" s="286">
        <v>3</v>
      </c>
      <c r="E85" s="292"/>
      <c r="F85" s="292"/>
      <c r="G85" s="292">
        <v>5</v>
      </c>
      <c r="H85" s="292">
        <v>10</v>
      </c>
      <c r="I85" s="292">
        <v>20</v>
      </c>
      <c r="J85" s="291">
        <v>20</v>
      </c>
      <c r="K85" s="291">
        <v>20</v>
      </c>
      <c r="L85" s="291">
        <v>15</v>
      </c>
      <c r="M85" s="291">
        <v>10</v>
      </c>
      <c r="N85" s="291"/>
      <c r="O85" s="291"/>
      <c r="P85" s="291"/>
      <c r="S85" s="51">
        <f t="shared" si="12"/>
        <v>100</v>
      </c>
    </row>
    <row r="86" spans="1:19" x14ac:dyDescent="0.2">
      <c r="A86" s="289" t="str">
        <f t="shared" si="13"/>
        <v>9|7</v>
      </c>
      <c r="B86" s="290" t="s">
        <v>147</v>
      </c>
      <c r="C86" s="285" t="s">
        <v>154</v>
      </c>
      <c r="D86" s="286">
        <v>5</v>
      </c>
      <c r="E86" s="292"/>
      <c r="F86" s="292"/>
      <c r="G86" s="292"/>
      <c r="H86" s="292">
        <v>15</v>
      </c>
      <c r="I86" s="292">
        <v>15</v>
      </c>
      <c r="J86" s="291">
        <v>15</v>
      </c>
      <c r="K86" s="291">
        <v>20</v>
      </c>
      <c r="L86" s="291">
        <v>20</v>
      </c>
      <c r="M86" s="291">
        <v>15</v>
      </c>
      <c r="N86" s="291"/>
      <c r="O86" s="291"/>
      <c r="P86" s="291"/>
      <c r="S86" s="51">
        <f t="shared" si="12"/>
        <v>100</v>
      </c>
    </row>
    <row r="87" spans="1:19" x14ac:dyDescent="0.2">
      <c r="A87" s="289" t="str">
        <f t="shared" si="13"/>
        <v>9|8</v>
      </c>
      <c r="B87" s="290" t="s">
        <v>108</v>
      </c>
      <c r="C87" s="285" t="s">
        <v>155</v>
      </c>
      <c r="D87" s="286">
        <v>6</v>
      </c>
      <c r="E87" s="292"/>
      <c r="F87" s="292"/>
      <c r="G87" s="292"/>
      <c r="H87" s="292">
        <v>10</v>
      </c>
      <c r="I87" s="292">
        <v>20</v>
      </c>
      <c r="J87" s="291">
        <v>30</v>
      </c>
      <c r="K87" s="291">
        <v>20</v>
      </c>
      <c r="L87" s="291">
        <v>10</v>
      </c>
      <c r="M87" s="291">
        <v>10</v>
      </c>
      <c r="N87" s="291"/>
      <c r="O87" s="291"/>
      <c r="P87" s="291"/>
      <c r="S87" s="51">
        <f t="shared" si="12"/>
        <v>100</v>
      </c>
    </row>
    <row r="88" spans="1:19" x14ac:dyDescent="0.2">
      <c r="A88" s="289" t="str">
        <f t="shared" si="13"/>
        <v>9|9</v>
      </c>
      <c r="B88" s="290" t="s">
        <v>156</v>
      </c>
      <c r="C88" s="285" t="s">
        <v>157</v>
      </c>
      <c r="D88" s="286">
        <v>6</v>
      </c>
      <c r="E88" s="292">
        <v>5</v>
      </c>
      <c r="F88" s="292">
        <v>5</v>
      </c>
      <c r="G88" s="292">
        <v>10</v>
      </c>
      <c r="H88" s="292">
        <v>15</v>
      </c>
      <c r="I88" s="292">
        <v>20</v>
      </c>
      <c r="J88" s="291">
        <v>15</v>
      </c>
      <c r="K88" s="291">
        <v>15</v>
      </c>
      <c r="L88" s="291">
        <v>15</v>
      </c>
      <c r="M88" s="291"/>
      <c r="N88" s="291"/>
      <c r="O88" s="291"/>
      <c r="P88" s="291"/>
      <c r="S88" s="51">
        <f t="shared" si="12"/>
        <v>100</v>
      </c>
    </row>
    <row r="89" spans="1:19" x14ac:dyDescent="0.2">
      <c r="A89" s="289" t="str">
        <f t="shared" si="13"/>
        <v>9|10</v>
      </c>
      <c r="B89" s="290" t="s">
        <v>158</v>
      </c>
      <c r="C89" s="285" t="s">
        <v>151</v>
      </c>
      <c r="D89" s="286"/>
      <c r="E89" s="292">
        <v>10</v>
      </c>
      <c r="F89" s="292">
        <v>15</v>
      </c>
      <c r="G89" s="292">
        <v>20</v>
      </c>
      <c r="H89" s="292">
        <v>20</v>
      </c>
      <c r="I89" s="292">
        <v>20</v>
      </c>
      <c r="J89" s="291">
        <v>10</v>
      </c>
      <c r="K89" s="291">
        <v>5</v>
      </c>
      <c r="L89" s="291"/>
      <c r="M89" s="291"/>
      <c r="N89" s="291"/>
      <c r="O89" s="291"/>
      <c r="P89" s="291"/>
      <c r="S89" s="51">
        <f t="shared" si="12"/>
        <v>100</v>
      </c>
    </row>
    <row r="90" spans="1:19" x14ac:dyDescent="0.2">
      <c r="A90" s="289" t="str">
        <f t="shared" si="13"/>
        <v>9|11</v>
      </c>
      <c r="B90" s="290" t="s">
        <v>164</v>
      </c>
      <c r="C90" s="285" t="s">
        <v>176</v>
      </c>
      <c r="D90" s="286"/>
      <c r="E90" s="292">
        <v>3</v>
      </c>
      <c r="F90" s="292">
        <v>5</v>
      </c>
      <c r="G90" s="292">
        <v>11</v>
      </c>
      <c r="H90" s="292">
        <v>15</v>
      </c>
      <c r="I90" s="292">
        <v>20</v>
      </c>
      <c r="J90" s="291">
        <v>16</v>
      </c>
      <c r="K90" s="291">
        <v>14</v>
      </c>
      <c r="L90" s="291">
        <v>10</v>
      </c>
      <c r="M90" s="291">
        <v>6</v>
      </c>
      <c r="N90" s="291"/>
      <c r="O90" s="291"/>
      <c r="P90" s="291"/>
      <c r="S90" s="51">
        <f t="shared" si="12"/>
        <v>100</v>
      </c>
    </row>
    <row r="91" spans="1:19" ht="5.45" customHeight="1" x14ac:dyDescent="0.2"/>
    <row r="92" spans="1:19" ht="13.5" thickBot="1" x14ac:dyDescent="0.25">
      <c r="A92" s="293" t="s">
        <v>35</v>
      </c>
      <c r="B92" s="294">
        <v>10</v>
      </c>
      <c r="C92" s="295"/>
      <c r="D92" s="296"/>
      <c r="E92" s="282"/>
      <c r="F92" s="282"/>
      <c r="G92" s="282"/>
      <c r="H92" s="282"/>
      <c r="I92" s="282"/>
      <c r="J92" s="282"/>
      <c r="K92" s="282"/>
      <c r="L92" s="282"/>
      <c r="M92" s="282"/>
      <c r="N92" s="282"/>
      <c r="O92" s="282"/>
      <c r="P92" s="282"/>
    </row>
    <row r="93" spans="1:19" ht="13.5" thickTop="1" x14ac:dyDescent="0.2">
      <c r="A93" s="297" t="str">
        <f>CONCATENATE($B$92,"|",B93)</f>
        <v>10|1</v>
      </c>
      <c r="B93" s="284">
        <v>1</v>
      </c>
      <c r="C93" s="285" t="s">
        <v>152</v>
      </c>
      <c r="D93" s="286">
        <v>1</v>
      </c>
      <c r="E93" s="287">
        <v>20</v>
      </c>
      <c r="F93" s="287">
        <v>20</v>
      </c>
      <c r="G93" s="287">
        <v>20</v>
      </c>
      <c r="H93" s="287">
        <v>10</v>
      </c>
      <c r="I93" s="287">
        <v>10</v>
      </c>
      <c r="J93" s="288">
        <v>10</v>
      </c>
      <c r="K93" s="288">
        <v>10</v>
      </c>
      <c r="L93" s="288"/>
      <c r="M93" s="288"/>
      <c r="N93" s="288"/>
      <c r="O93" s="288"/>
      <c r="P93" s="288"/>
      <c r="S93" s="51">
        <f>SUM(E93:P93)</f>
        <v>100</v>
      </c>
    </row>
    <row r="94" spans="1:19" x14ac:dyDescent="0.2">
      <c r="A94" s="289" t="str">
        <f>CONCATENATE($B$92,"|",B94)</f>
        <v>10|2</v>
      </c>
      <c r="B94" s="290" t="s">
        <v>89</v>
      </c>
      <c r="C94" s="285" t="s">
        <v>148</v>
      </c>
      <c r="D94" s="286">
        <v>2</v>
      </c>
      <c r="E94" s="287">
        <v>5</v>
      </c>
      <c r="F94" s="287">
        <v>10</v>
      </c>
      <c r="G94" s="287">
        <v>15</v>
      </c>
      <c r="H94" s="287">
        <v>20</v>
      </c>
      <c r="I94" s="287">
        <v>20</v>
      </c>
      <c r="J94" s="291">
        <v>15</v>
      </c>
      <c r="K94" s="291">
        <v>10</v>
      </c>
      <c r="L94" s="291">
        <v>5</v>
      </c>
      <c r="M94" s="291"/>
      <c r="N94" s="291"/>
      <c r="O94" s="291"/>
      <c r="P94" s="291"/>
      <c r="S94" s="51">
        <f t="shared" ref="S94:S103" si="14">SUM(E94:P94)</f>
        <v>100</v>
      </c>
    </row>
    <row r="95" spans="1:19" x14ac:dyDescent="0.2">
      <c r="A95" s="289" t="str">
        <f t="shared" ref="A95:A103" si="15">CONCATENATE($B$92,"|",B95)</f>
        <v>10|3</v>
      </c>
      <c r="B95" s="290" t="s">
        <v>93</v>
      </c>
      <c r="C95" s="285" t="s">
        <v>153</v>
      </c>
      <c r="D95" s="286">
        <v>3</v>
      </c>
      <c r="E95" s="292"/>
      <c r="F95" s="292">
        <v>5</v>
      </c>
      <c r="G95" s="292">
        <v>10</v>
      </c>
      <c r="H95" s="292">
        <v>15</v>
      </c>
      <c r="I95" s="292">
        <v>15</v>
      </c>
      <c r="J95" s="291">
        <v>15</v>
      </c>
      <c r="K95" s="291">
        <v>15</v>
      </c>
      <c r="L95" s="291">
        <v>15</v>
      </c>
      <c r="M95" s="291">
        <v>10</v>
      </c>
      <c r="N95" s="291"/>
      <c r="O95" s="291"/>
      <c r="P95" s="291"/>
      <c r="S95" s="51">
        <f t="shared" si="14"/>
        <v>100</v>
      </c>
    </row>
    <row r="96" spans="1:19" x14ac:dyDescent="0.2">
      <c r="A96" s="289" t="str">
        <f t="shared" si="15"/>
        <v>10|4</v>
      </c>
      <c r="B96" s="290" t="s">
        <v>96</v>
      </c>
      <c r="C96" s="285" t="s">
        <v>149</v>
      </c>
      <c r="D96" s="286">
        <v>4</v>
      </c>
      <c r="E96" s="292"/>
      <c r="F96" s="292"/>
      <c r="G96" s="292">
        <v>5</v>
      </c>
      <c r="H96" s="292">
        <v>5</v>
      </c>
      <c r="I96" s="292">
        <v>15</v>
      </c>
      <c r="J96" s="291">
        <v>20</v>
      </c>
      <c r="K96" s="291">
        <v>20</v>
      </c>
      <c r="L96" s="291">
        <v>15</v>
      </c>
      <c r="M96" s="291">
        <v>10</v>
      </c>
      <c r="N96" s="291">
        <v>10</v>
      </c>
      <c r="O96" s="291"/>
      <c r="P96" s="291"/>
      <c r="S96" s="51">
        <f t="shared" si="14"/>
        <v>100</v>
      </c>
    </row>
    <row r="97" spans="1:19" x14ac:dyDescent="0.2">
      <c r="A97" s="289" t="str">
        <f t="shared" si="15"/>
        <v>10|5</v>
      </c>
      <c r="B97" s="290" t="s">
        <v>88</v>
      </c>
      <c r="C97" s="285" t="s">
        <v>150</v>
      </c>
      <c r="D97" s="286">
        <v>5</v>
      </c>
      <c r="E97" s="292"/>
      <c r="F97" s="292"/>
      <c r="G97" s="292">
        <v>10</v>
      </c>
      <c r="H97" s="292">
        <v>10</v>
      </c>
      <c r="I97" s="292">
        <v>10</v>
      </c>
      <c r="J97" s="291">
        <v>20</v>
      </c>
      <c r="K97" s="291">
        <v>20</v>
      </c>
      <c r="L97" s="291">
        <v>20</v>
      </c>
      <c r="M97" s="291">
        <v>10</v>
      </c>
      <c r="N97" s="291"/>
      <c r="O97" s="291"/>
      <c r="P97" s="291"/>
      <c r="S97" s="51">
        <f t="shared" si="14"/>
        <v>100</v>
      </c>
    </row>
    <row r="98" spans="1:19" x14ac:dyDescent="0.2">
      <c r="A98" s="289" t="str">
        <f t="shared" si="15"/>
        <v>10|6</v>
      </c>
      <c r="B98" s="290" t="s">
        <v>97</v>
      </c>
      <c r="C98" s="285" t="s">
        <v>429</v>
      </c>
      <c r="D98" s="286">
        <v>3</v>
      </c>
      <c r="E98" s="292"/>
      <c r="F98" s="292"/>
      <c r="G98" s="292"/>
      <c r="H98" s="292">
        <v>5</v>
      </c>
      <c r="I98" s="292">
        <v>10</v>
      </c>
      <c r="J98" s="292">
        <v>15</v>
      </c>
      <c r="K98" s="291">
        <v>20</v>
      </c>
      <c r="L98" s="291">
        <v>20</v>
      </c>
      <c r="M98" s="291">
        <v>15</v>
      </c>
      <c r="N98" s="291">
        <v>15</v>
      </c>
      <c r="O98" s="291"/>
      <c r="P98" s="291"/>
      <c r="S98" s="51">
        <f t="shared" si="14"/>
        <v>100</v>
      </c>
    </row>
    <row r="99" spans="1:19" x14ac:dyDescent="0.2">
      <c r="A99" s="289" t="str">
        <f t="shared" si="15"/>
        <v>10|7</v>
      </c>
      <c r="B99" s="290" t="s">
        <v>147</v>
      </c>
      <c r="C99" s="285" t="s">
        <v>154</v>
      </c>
      <c r="D99" s="286">
        <v>5</v>
      </c>
      <c r="E99" s="292"/>
      <c r="F99" s="292"/>
      <c r="G99" s="292"/>
      <c r="H99" s="292">
        <v>15</v>
      </c>
      <c r="I99" s="292">
        <v>15</v>
      </c>
      <c r="J99" s="291">
        <v>15</v>
      </c>
      <c r="K99" s="291">
        <v>20</v>
      </c>
      <c r="L99" s="291">
        <v>15</v>
      </c>
      <c r="M99" s="291">
        <v>10</v>
      </c>
      <c r="N99" s="291">
        <v>10</v>
      </c>
      <c r="O99" s="291"/>
      <c r="P99" s="291"/>
      <c r="S99" s="51">
        <f t="shared" si="14"/>
        <v>100</v>
      </c>
    </row>
    <row r="100" spans="1:19" x14ac:dyDescent="0.2">
      <c r="A100" s="289" t="str">
        <f t="shared" si="15"/>
        <v>10|8</v>
      </c>
      <c r="B100" s="290" t="s">
        <v>108</v>
      </c>
      <c r="C100" s="285" t="s">
        <v>155</v>
      </c>
      <c r="D100" s="286">
        <v>6</v>
      </c>
      <c r="E100" s="292"/>
      <c r="F100" s="292"/>
      <c r="G100" s="292"/>
      <c r="H100" s="292">
        <v>10</v>
      </c>
      <c r="I100" s="292">
        <v>20</v>
      </c>
      <c r="J100" s="291">
        <v>20</v>
      </c>
      <c r="K100" s="291">
        <v>20</v>
      </c>
      <c r="L100" s="291">
        <v>10</v>
      </c>
      <c r="M100" s="291">
        <v>10</v>
      </c>
      <c r="N100" s="291">
        <v>10</v>
      </c>
      <c r="O100" s="291"/>
      <c r="P100" s="291"/>
      <c r="S100" s="51">
        <f t="shared" si="14"/>
        <v>100</v>
      </c>
    </row>
    <row r="101" spans="1:19" x14ac:dyDescent="0.2">
      <c r="A101" s="289" t="str">
        <f t="shared" si="15"/>
        <v>10|9</v>
      </c>
      <c r="B101" s="290" t="s">
        <v>156</v>
      </c>
      <c r="C101" s="285" t="s">
        <v>157</v>
      </c>
      <c r="D101" s="286">
        <v>6</v>
      </c>
      <c r="E101" s="292">
        <v>5</v>
      </c>
      <c r="F101" s="292">
        <v>5</v>
      </c>
      <c r="G101" s="292">
        <v>10</v>
      </c>
      <c r="H101" s="292">
        <v>10</v>
      </c>
      <c r="I101" s="292">
        <v>10</v>
      </c>
      <c r="J101" s="291">
        <v>15</v>
      </c>
      <c r="K101" s="291">
        <v>15</v>
      </c>
      <c r="L101" s="291">
        <v>10</v>
      </c>
      <c r="M101" s="291">
        <v>10</v>
      </c>
      <c r="N101" s="291">
        <v>10</v>
      </c>
      <c r="O101" s="291"/>
      <c r="P101" s="291"/>
      <c r="S101" s="51">
        <f t="shared" si="14"/>
        <v>100</v>
      </c>
    </row>
    <row r="102" spans="1:19" x14ac:dyDescent="0.2">
      <c r="A102" s="289" t="str">
        <f t="shared" si="15"/>
        <v>10|10</v>
      </c>
      <c r="B102" s="290" t="s">
        <v>158</v>
      </c>
      <c r="C102" s="285" t="s">
        <v>151</v>
      </c>
      <c r="D102" s="286"/>
      <c r="E102" s="292">
        <v>10</v>
      </c>
      <c r="F102" s="292">
        <v>15</v>
      </c>
      <c r="G102" s="292">
        <v>15</v>
      </c>
      <c r="H102" s="292">
        <v>15</v>
      </c>
      <c r="I102" s="292">
        <v>15</v>
      </c>
      <c r="J102" s="291">
        <v>15</v>
      </c>
      <c r="K102" s="291">
        <v>10</v>
      </c>
      <c r="L102" s="291">
        <v>5</v>
      </c>
      <c r="M102" s="291"/>
      <c r="N102" s="291"/>
      <c r="O102" s="291"/>
      <c r="P102" s="291"/>
      <c r="S102" s="51">
        <f t="shared" si="14"/>
        <v>100</v>
      </c>
    </row>
    <row r="103" spans="1:19" x14ac:dyDescent="0.2">
      <c r="A103" s="289" t="str">
        <f t="shared" si="15"/>
        <v>10|11</v>
      </c>
      <c r="B103" s="290" t="s">
        <v>164</v>
      </c>
      <c r="C103" s="285" t="s">
        <v>176</v>
      </c>
      <c r="D103" s="286"/>
      <c r="E103" s="292">
        <v>2</v>
      </c>
      <c r="F103" s="292">
        <v>2</v>
      </c>
      <c r="G103" s="292">
        <v>14</v>
      </c>
      <c r="H103" s="292">
        <v>14</v>
      </c>
      <c r="I103" s="292">
        <v>15</v>
      </c>
      <c r="J103" s="291">
        <v>15</v>
      </c>
      <c r="K103" s="291">
        <v>15</v>
      </c>
      <c r="L103" s="291">
        <v>15</v>
      </c>
      <c r="M103" s="291">
        <v>5</v>
      </c>
      <c r="N103" s="291">
        <v>3</v>
      </c>
      <c r="O103" s="291"/>
      <c r="P103" s="291"/>
      <c r="S103" s="51">
        <f t="shared" si="14"/>
        <v>100</v>
      </c>
    </row>
    <row r="104" spans="1:19" ht="5.45" customHeight="1" x14ac:dyDescent="0.2"/>
    <row r="105" spans="1:19" ht="13.5" thickBot="1" x14ac:dyDescent="0.25">
      <c r="A105" s="293" t="s">
        <v>35</v>
      </c>
      <c r="B105" s="294">
        <v>11</v>
      </c>
      <c r="C105" s="295"/>
      <c r="D105" s="296"/>
      <c r="E105" s="282"/>
      <c r="F105" s="282"/>
      <c r="G105" s="282"/>
      <c r="H105" s="282"/>
      <c r="I105" s="282"/>
      <c r="J105" s="282"/>
      <c r="K105" s="282"/>
      <c r="L105" s="282"/>
      <c r="M105" s="282"/>
      <c r="N105" s="282"/>
      <c r="O105" s="282"/>
      <c r="P105" s="282"/>
    </row>
    <row r="106" spans="1:19" ht="13.5" thickTop="1" x14ac:dyDescent="0.2">
      <c r="A106" s="297" t="str">
        <f>CONCATENATE($B$105,"|",B106)</f>
        <v>11|1</v>
      </c>
      <c r="B106" s="284">
        <v>1</v>
      </c>
      <c r="C106" s="285" t="s">
        <v>152</v>
      </c>
      <c r="D106" s="286">
        <v>1</v>
      </c>
      <c r="E106" s="287">
        <v>10</v>
      </c>
      <c r="F106" s="287">
        <v>20</v>
      </c>
      <c r="G106" s="287">
        <v>20</v>
      </c>
      <c r="H106" s="287">
        <v>20</v>
      </c>
      <c r="I106" s="287">
        <v>10</v>
      </c>
      <c r="J106" s="288">
        <v>10</v>
      </c>
      <c r="K106" s="288">
        <v>10</v>
      </c>
      <c r="L106" s="288"/>
      <c r="M106" s="288"/>
      <c r="N106" s="288"/>
      <c r="O106" s="288"/>
      <c r="P106" s="288"/>
      <c r="S106" s="51">
        <f>SUM(E106:P106)</f>
        <v>100</v>
      </c>
    </row>
    <row r="107" spans="1:19" x14ac:dyDescent="0.2">
      <c r="A107" s="289" t="str">
        <f>CONCATENATE($B$105,"|",B107)</f>
        <v>11|2</v>
      </c>
      <c r="B107" s="290" t="s">
        <v>89</v>
      </c>
      <c r="C107" s="285" t="s">
        <v>148</v>
      </c>
      <c r="D107" s="286">
        <v>2</v>
      </c>
      <c r="E107" s="287">
        <v>5</v>
      </c>
      <c r="F107" s="287">
        <v>10</v>
      </c>
      <c r="G107" s="287">
        <v>10</v>
      </c>
      <c r="H107" s="287">
        <v>15</v>
      </c>
      <c r="I107" s="287">
        <v>15</v>
      </c>
      <c r="J107" s="291">
        <v>15</v>
      </c>
      <c r="K107" s="291">
        <v>15</v>
      </c>
      <c r="L107" s="291">
        <v>10</v>
      </c>
      <c r="M107" s="291">
        <v>5</v>
      </c>
      <c r="N107" s="291"/>
      <c r="O107" s="291"/>
      <c r="P107" s="291"/>
      <c r="S107" s="51">
        <f t="shared" ref="S107:S116" si="16">SUM(E107:P107)</f>
        <v>100</v>
      </c>
    </row>
    <row r="108" spans="1:19" x14ac:dyDescent="0.2">
      <c r="A108" s="289" t="str">
        <f t="shared" ref="A108:A116" si="17">CONCATENATE($B$105,"|",B108)</f>
        <v>11|3</v>
      </c>
      <c r="B108" s="290" t="s">
        <v>93</v>
      </c>
      <c r="C108" s="285" t="s">
        <v>153</v>
      </c>
      <c r="D108" s="286">
        <v>3</v>
      </c>
      <c r="E108" s="292"/>
      <c r="F108" s="292">
        <v>5</v>
      </c>
      <c r="G108" s="292">
        <v>10</v>
      </c>
      <c r="H108" s="292">
        <v>10</v>
      </c>
      <c r="I108" s="292">
        <v>15</v>
      </c>
      <c r="J108" s="291">
        <v>15</v>
      </c>
      <c r="K108" s="291">
        <v>15</v>
      </c>
      <c r="L108" s="291">
        <v>10</v>
      </c>
      <c r="M108" s="291">
        <v>10</v>
      </c>
      <c r="N108" s="291">
        <v>10</v>
      </c>
      <c r="O108" s="291"/>
      <c r="P108" s="291"/>
      <c r="S108" s="51">
        <f t="shared" si="16"/>
        <v>100</v>
      </c>
    </row>
    <row r="109" spans="1:19" x14ac:dyDescent="0.2">
      <c r="A109" s="289" t="str">
        <f t="shared" si="17"/>
        <v>11|4</v>
      </c>
      <c r="B109" s="290" t="s">
        <v>96</v>
      </c>
      <c r="C109" s="285" t="s">
        <v>149</v>
      </c>
      <c r="D109" s="286">
        <v>4</v>
      </c>
      <c r="E109" s="292"/>
      <c r="F109" s="292"/>
      <c r="G109" s="292">
        <v>5</v>
      </c>
      <c r="H109" s="292">
        <v>10</v>
      </c>
      <c r="I109" s="292">
        <v>10</v>
      </c>
      <c r="J109" s="291">
        <v>15</v>
      </c>
      <c r="K109" s="291">
        <v>15</v>
      </c>
      <c r="L109" s="291">
        <v>15</v>
      </c>
      <c r="M109" s="291">
        <v>10</v>
      </c>
      <c r="N109" s="291">
        <v>10</v>
      </c>
      <c r="O109" s="291">
        <v>10</v>
      </c>
      <c r="P109" s="291"/>
      <c r="S109" s="51">
        <f t="shared" si="16"/>
        <v>100</v>
      </c>
    </row>
    <row r="110" spans="1:19" x14ac:dyDescent="0.2">
      <c r="A110" s="289" t="str">
        <f t="shared" si="17"/>
        <v>11|5</v>
      </c>
      <c r="B110" s="290" t="s">
        <v>88</v>
      </c>
      <c r="C110" s="285" t="s">
        <v>150</v>
      </c>
      <c r="D110" s="286">
        <v>5</v>
      </c>
      <c r="E110" s="292"/>
      <c r="F110" s="292"/>
      <c r="G110" s="292">
        <v>10</v>
      </c>
      <c r="H110" s="292">
        <v>10</v>
      </c>
      <c r="I110" s="292">
        <v>10</v>
      </c>
      <c r="J110" s="291">
        <v>15</v>
      </c>
      <c r="K110" s="291">
        <v>15</v>
      </c>
      <c r="L110" s="291">
        <v>15</v>
      </c>
      <c r="M110" s="291">
        <v>15</v>
      </c>
      <c r="N110" s="291">
        <v>10</v>
      </c>
      <c r="O110" s="291"/>
      <c r="P110" s="291"/>
      <c r="S110" s="51">
        <f t="shared" si="16"/>
        <v>100</v>
      </c>
    </row>
    <row r="111" spans="1:19" x14ac:dyDescent="0.2">
      <c r="A111" s="289" t="str">
        <f t="shared" si="17"/>
        <v>11|6</v>
      </c>
      <c r="B111" s="290" t="s">
        <v>97</v>
      </c>
      <c r="C111" s="285" t="s">
        <v>429</v>
      </c>
      <c r="D111" s="286">
        <v>3</v>
      </c>
      <c r="E111" s="292"/>
      <c r="F111" s="292"/>
      <c r="G111" s="292"/>
      <c r="H111" s="292">
        <v>5</v>
      </c>
      <c r="I111" s="292">
        <v>10</v>
      </c>
      <c r="J111" s="292">
        <v>15</v>
      </c>
      <c r="K111" s="291">
        <v>15</v>
      </c>
      <c r="L111" s="291">
        <v>15</v>
      </c>
      <c r="M111" s="291">
        <v>15</v>
      </c>
      <c r="N111" s="291">
        <v>15</v>
      </c>
      <c r="O111" s="291">
        <v>10</v>
      </c>
      <c r="P111" s="291"/>
      <c r="S111" s="51">
        <f t="shared" si="16"/>
        <v>100</v>
      </c>
    </row>
    <row r="112" spans="1:19" x14ac:dyDescent="0.2">
      <c r="A112" s="289" t="str">
        <f t="shared" si="17"/>
        <v>11|7</v>
      </c>
      <c r="B112" s="290" t="s">
        <v>147</v>
      </c>
      <c r="C112" s="285" t="s">
        <v>154</v>
      </c>
      <c r="D112" s="286">
        <v>5</v>
      </c>
      <c r="E112" s="292"/>
      <c r="F112" s="292"/>
      <c r="G112" s="292"/>
      <c r="H112" s="292">
        <v>10</v>
      </c>
      <c r="I112" s="292">
        <v>10</v>
      </c>
      <c r="J112" s="291">
        <v>15</v>
      </c>
      <c r="K112" s="291">
        <v>20</v>
      </c>
      <c r="L112" s="291">
        <v>15</v>
      </c>
      <c r="M112" s="291">
        <v>10</v>
      </c>
      <c r="N112" s="291">
        <v>10</v>
      </c>
      <c r="O112" s="291">
        <v>10</v>
      </c>
      <c r="P112" s="291"/>
      <c r="S112" s="51">
        <f t="shared" si="16"/>
        <v>100</v>
      </c>
    </row>
    <row r="113" spans="1:19" x14ac:dyDescent="0.2">
      <c r="A113" s="289" t="str">
        <f t="shared" si="17"/>
        <v>11|8</v>
      </c>
      <c r="B113" s="290" t="s">
        <v>108</v>
      </c>
      <c r="C113" s="285" t="s">
        <v>155</v>
      </c>
      <c r="D113" s="286">
        <v>6</v>
      </c>
      <c r="E113" s="292"/>
      <c r="F113" s="292"/>
      <c r="G113" s="292"/>
      <c r="H113" s="292">
        <v>10</v>
      </c>
      <c r="I113" s="292">
        <v>10</v>
      </c>
      <c r="J113" s="291">
        <v>20</v>
      </c>
      <c r="K113" s="291">
        <v>20</v>
      </c>
      <c r="L113" s="291">
        <v>10</v>
      </c>
      <c r="M113" s="291">
        <v>10</v>
      </c>
      <c r="N113" s="291">
        <v>10</v>
      </c>
      <c r="O113" s="291">
        <v>10</v>
      </c>
      <c r="P113" s="291"/>
      <c r="S113" s="51">
        <f t="shared" si="16"/>
        <v>100</v>
      </c>
    </row>
    <row r="114" spans="1:19" x14ac:dyDescent="0.2">
      <c r="A114" s="289" t="str">
        <f t="shared" si="17"/>
        <v>11|9</v>
      </c>
      <c r="B114" s="290" t="s">
        <v>156</v>
      </c>
      <c r="C114" s="285" t="s">
        <v>157</v>
      </c>
      <c r="D114" s="286">
        <v>6</v>
      </c>
      <c r="E114" s="292">
        <v>5</v>
      </c>
      <c r="F114" s="292">
        <v>5</v>
      </c>
      <c r="G114" s="292">
        <v>10</v>
      </c>
      <c r="H114" s="292">
        <v>10</v>
      </c>
      <c r="I114" s="292">
        <v>10</v>
      </c>
      <c r="J114" s="291">
        <v>10</v>
      </c>
      <c r="K114" s="291">
        <v>10</v>
      </c>
      <c r="L114" s="291">
        <v>10</v>
      </c>
      <c r="M114" s="291">
        <v>10</v>
      </c>
      <c r="N114" s="291">
        <v>10</v>
      </c>
      <c r="O114" s="291">
        <v>10</v>
      </c>
      <c r="P114" s="291"/>
      <c r="S114" s="51">
        <f t="shared" si="16"/>
        <v>100</v>
      </c>
    </row>
    <row r="115" spans="1:19" x14ac:dyDescent="0.2">
      <c r="A115" s="289" t="str">
        <f t="shared" si="17"/>
        <v>11|10</v>
      </c>
      <c r="B115" s="290" t="s">
        <v>158</v>
      </c>
      <c r="C115" s="285" t="s">
        <v>151</v>
      </c>
      <c r="D115" s="286"/>
      <c r="E115" s="292">
        <v>10</v>
      </c>
      <c r="F115" s="292">
        <v>10</v>
      </c>
      <c r="G115" s="292">
        <v>15</v>
      </c>
      <c r="H115" s="292">
        <v>15</v>
      </c>
      <c r="I115" s="292">
        <v>15</v>
      </c>
      <c r="J115" s="291">
        <v>10</v>
      </c>
      <c r="K115" s="291">
        <v>10</v>
      </c>
      <c r="L115" s="291">
        <v>10</v>
      </c>
      <c r="M115" s="291">
        <v>5</v>
      </c>
      <c r="N115" s="291"/>
      <c r="O115" s="291"/>
      <c r="P115" s="291"/>
      <c r="S115" s="51">
        <f t="shared" si="16"/>
        <v>100</v>
      </c>
    </row>
    <row r="116" spans="1:19" x14ac:dyDescent="0.2">
      <c r="A116" s="289" t="str">
        <f t="shared" si="17"/>
        <v>11|11</v>
      </c>
      <c r="B116" s="290" t="s">
        <v>164</v>
      </c>
      <c r="C116" s="285" t="s">
        <v>176</v>
      </c>
      <c r="D116" s="286"/>
      <c r="E116" s="292">
        <v>1</v>
      </c>
      <c r="F116" s="292">
        <v>1</v>
      </c>
      <c r="G116" s="292">
        <v>10</v>
      </c>
      <c r="H116" s="292">
        <v>15</v>
      </c>
      <c r="I116" s="292">
        <v>15</v>
      </c>
      <c r="J116" s="291">
        <v>15</v>
      </c>
      <c r="K116" s="291">
        <v>15</v>
      </c>
      <c r="L116" s="291">
        <v>15</v>
      </c>
      <c r="M116" s="291">
        <v>5</v>
      </c>
      <c r="N116" s="291">
        <v>3</v>
      </c>
      <c r="O116" s="291">
        <v>5</v>
      </c>
      <c r="P116" s="291"/>
      <c r="S116" s="51">
        <f t="shared" si="16"/>
        <v>100</v>
      </c>
    </row>
    <row r="117" spans="1:19" ht="5.45" customHeight="1" x14ac:dyDescent="0.2"/>
    <row r="118" spans="1:19" ht="13.5" thickBot="1" x14ac:dyDescent="0.25">
      <c r="A118" s="293" t="s">
        <v>35</v>
      </c>
      <c r="B118" s="294">
        <v>12</v>
      </c>
      <c r="C118" s="295"/>
      <c r="D118" s="296"/>
      <c r="E118" s="282"/>
      <c r="F118" s="282"/>
      <c r="G118" s="282"/>
      <c r="H118" s="282"/>
      <c r="I118" s="282"/>
      <c r="J118" s="282"/>
      <c r="K118" s="282"/>
      <c r="L118" s="282"/>
      <c r="M118" s="282"/>
      <c r="N118" s="282"/>
      <c r="O118" s="282"/>
      <c r="P118" s="282"/>
    </row>
    <row r="119" spans="1:19" ht="13.5" thickTop="1" x14ac:dyDescent="0.2">
      <c r="A119" s="297" t="str">
        <f>CONCATENATE($B$118,"|",B119)</f>
        <v>12|1</v>
      </c>
      <c r="B119" s="284">
        <v>1</v>
      </c>
      <c r="C119" s="285" t="s">
        <v>152</v>
      </c>
      <c r="D119" s="286">
        <v>1</v>
      </c>
      <c r="E119" s="287">
        <v>10</v>
      </c>
      <c r="F119" s="287">
        <v>20</v>
      </c>
      <c r="G119" s="287">
        <v>20</v>
      </c>
      <c r="H119" s="287">
        <v>20</v>
      </c>
      <c r="I119" s="287">
        <v>10</v>
      </c>
      <c r="J119" s="288">
        <v>10</v>
      </c>
      <c r="K119" s="288">
        <v>10</v>
      </c>
      <c r="L119" s="288"/>
      <c r="M119" s="288"/>
      <c r="N119" s="288"/>
      <c r="O119" s="288"/>
      <c r="P119" s="288"/>
      <c r="S119" s="51">
        <f>SUM(E119:P119)</f>
        <v>100</v>
      </c>
    </row>
    <row r="120" spans="1:19" x14ac:dyDescent="0.2">
      <c r="A120" s="289" t="str">
        <f>CONCATENATE($B$118,"|",B120)</f>
        <v>12|2</v>
      </c>
      <c r="B120" s="290" t="s">
        <v>89</v>
      </c>
      <c r="C120" s="285" t="s">
        <v>148</v>
      </c>
      <c r="D120" s="286">
        <v>2</v>
      </c>
      <c r="E120" s="287">
        <v>5</v>
      </c>
      <c r="F120" s="287">
        <v>10</v>
      </c>
      <c r="G120" s="287">
        <v>10</v>
      </c>
      <c r="H120" s="287">
        <v>15</v>
      </c>
      <c r="I120" s="287">
        <v>15</v>
      </c>
      <c r="J120" s="291">
        <v>15</v>
      </c>
      <c r="K120" s="291">
        <v>10</v>
      </c>
      <c r="L120" s="291">
        <v>10</v>
      </c>
      <c r="M120" s="291">
        <v>10</v>
      </c>
      <c r="N120" s="291"/>
      <c r="O120" s="291"/>
      <c r="P120" s="291"/>
      <c r="S120" s="51">
        <f t="shared" ref="S120:S129" si="18">SUM(E120:P120)</f>
        <v>100</v>
      </c>
    </row>
    <row r="121" spans="1:19" x14ac:dyDescent="0.2">
      <c r="A121" s="289" t="str">
        <f t="shared" ref="A121:A129" si="19">CONCATENATE($B$118,"|",B121)</f>
        <v>12|3</v>
      </c>
      <c r="B121" s="290" t="s">
        <v>93</v>
      </c>
      <c r="C121" s="285" t="s">
        <v>153</v>
      </c>
      <c r="D121" s="286">
        <v>3</v>
      </c>
      <c r="E121" s="292"/>
      <c r="F121" s="292">
        <v>5</v>
      </c>
      <c r="G121" s="292">
        <v>10</v>
      </c>
      <c r="H121" s="292">
        <v>10</v>
      </c>
      <c r="I121" s="292">
        <v>10</v>
      </c>
      <c r="J121" s="291">
        <v>15</v>
      </c>
      <c r="K121" s="291">
        <v>15</v>
      </c>
      <c r="L121" s="291">
        <v>10</v>
      </c>
      <c r="M121" s="291">
        <v>10</v>
      </c>
      <c r="N121" s="291">
        <v>10</v>
      </c>
      <c r="O121" s="291">
        <v>5</v>
      </c>
      <c r="P121" s="291"/>
      <c r="S121" s="51">
        <f t="shared" si="18"/>
        <v>100</v>
      </c>
    </row>
    <row r="122" spans="1:19" x14ac:dyDescent="0.2">
      <c r="A122" s="289" t="str">
        <f t="shared" si="19"/>
        <v>12|4</v>
      </c>
      <c r="B122" s="290" t="s">
        <v>96</v>
      </c>
      <c r="C122" s="285" t="s">
        <v>149</v>
      </c>
      <c r="D122" s="286">
        <v>4</v>
      </c>
      <c r="E122" s="292"/>
      <c r="F122" s="292"/>
      <c r="G122" s="292">
        <v>5</v>
      </c>
      <c r="H122" s="292">
        <v>10</v>
      </c>
      <c r="I122" s="292">
        <v>10</v>
      </c>
      <c r="J122" s="291">
        <v>10</v>
      </c>
      <c r="K122" s="291">
        <v>10</v>
      </c>
      <c r="L122" s="291">
        <v>15</v>
      </c>
      <c r="M122" s="291">
        <v>10</v>
      </c>
      <c r="N122" s="291">
        <v>15</v>
      </c>
      <c r="O122" s="291">
        <v>10</v>
      </c>
      <c r="P122" s="291">
        <v>5</v>
      </c>
      <c r="S122" s="51">
        <f t="shared" si="18"/>
        <v>100</v>
      </c>
    </row>
    <row r="123" spans="1:19" x14ac:dyDescent="0.2">
      <c r="A123" s="289" t="str">
        <f t="shared" si="19"/>
        <v>12|5</v>
      </c>
      <c r="B123" s="290" t="s">
        <v>88</v>
      </c>
      <c r="C123" s="285" t="s">
        <v>150</v>
      </c>
      <c r="D123" s="286">
        <v>5</v>
      </c>
      <c r="E123" s="292"/>
      <c r="F123" s="292"/>
      <c r="G123" s="292">
        <v>10</v>
      </c>
      <c r="H123" s="292">
        <v>10</v>
      </c>
      <c r="I123" s="292">
        <v>10</v>
      </c>
      <c r="J123" s="291">
        <v>10</v>
      </c>
      <c r="K123" s="291">
        <v>10</v>
      </c>
      <c r="L123" s="291">
        <v>15</v>
      </c>
      <c r="M123" s="291">
        <v>15</v>
      </c>
      <c r="N123" s="291">
        <v>10</v>
      </c>
      <c r="O123" s="291">
        <v>10</v>
      </c>
      <c r="P123" s="291"/>
      <c r="S123" s="51">
        <f t="shared" si="18"/>
        <v>100</v>
      </c>
    </row>
    <row r="124" spans="1:19" x14ac:dyDescent="0.2">
      <c r="A124" s="289" t="str">
        <f t="shared" si="19"/>
        <v>12|6</v>
      </c>
      <c r="B124" s="290" t="s">
        <v>97</v>
      </c>
      <c r="C124" s="285" t="s">
        <v>429</v>
      </c>
      <c r="D124" s="286">
        <v>3</v>
      </c>
      <c r="E124" s="292"/>
      <c r="F124" s="292"/>
      <c r="G124" s="292"/>
      <c r="H124" s="292">
        <v>5</v>
      </c>
      <c r="I124" s="292">
        <v>10</v>
      </c>
      <c r="J124" s="292">
        <v>10</v>
      </c>
      <c r="K124" s="291">
        <v>10</v>
      </c>
      <c r="L124" s="291">
        <v>15</v>
      </c>
      <c r="M124" s="291">
        <v>15</v>
      </c>
      <c r="N124" s="291">
        <v>15</v>
      </c>
      <c r="O124" s="291">
        <v>10</v>
      </c>
      <c r="P124" s="291">
        <v>10</v>
      </c>
      <c r="S124" s="51">
        <f t="shared" si="18"/>
        <v>100</v>
      </c>
    </row>
    <row r="125" spans="1:19" x14ac:dyDescent="0.2">
      <c r="A125" s="289" t="str">
        <f t="shared" si="19"/>
        <v>12|7</v>
      </c>
      <c r="B125" s="290" t="s">
        <v>147</v>
      </c>
      <c r="C125" s="285" t="s">
        <v>154</v>
      </c>
      <c r="D125" s="286">
        <v>5</v>
      </c>
      <c r="E125" s="292"/>
      <c r="F125" s="292"/>
      <c r="G125" s="292"/>
      <c r="H125" s="292">
        <v>5</v>
      </c>
      <c r="I125" s="292">
        <v>10</v>
      </c>
      <c r="J125" s="291">
        <v>10</v>
      </c>
      <c r="K125" s="291">
        <v>15</v>
      </c>
      <c r="L125" s="291">
        <v>15</v>
      </c>
      <c r="M125" s="291">
        <v>15</v>
      </c>
      <c r="N125" s="291">
        <v>10</v>
      </c>
      <c r="O125" s="291">
        <v>10</v>
      </c>
      <c r="P125" s="291">
        <v>10</v>
      </c>
      <c r="S125" s="51">
        <f t="shared" si="18"/>
        <v>100</v>
      </c>
    </row>
    <row r="126" spans="1:19" x14ac:dyDescent="0.2">
      <c r="A126" s="289" t="str">
        <f t="shared" si="19"/>
        <v>12|8</v>
      </c>
      <c r="B126" s="290" t="s">
        <v>108</v>
      </c>
      <c r="C126" s="285" t="s">
        <v>155</v>
      </c>
      <c r="D126" s="286">
        <v>6</v>
      </c>
      <c r="E126" s="292"/>
      <c r="F126" s="292"/>
      <c r="G126" s="292"/>
      <c r="H126" s="292">
        <v>10</v>
      </c>
      <c r="I126" s="292">
        <v>10</v>
      </c>
      <c r="J126" s="291">
        <v>10</v>
      </c>
      <c r="K126" s="291">
        <v>20</v>
      </c>
      <c r="L126" s="291">
        <v>10</v>
      </c>
      <c r="M126" s="291">
        <v>10</v>
      </c>
      <c r="N126" s="291">
        <v>10</v>
      </c>
      <c r="O126" s="291">
        <v>10</v>
      </c>
      <c r="P126" s="291">
        <v>10</v>
      </c>
      <c r="S126" s="51">
        <f t="shared" si="18"/>
        <v>100</v>
      </c>
    </row>
    <row r="127" spans="1:19" x14ac:dyDescent="0.2">
      <c r="A127" s="289" t="str">
        <f t="shared" si="19"/>
        <v>12|9</v>
      </c>
      <c r="B127" s="290" t="s">
        <v>156</v>
      </c>
      <c r="C127" s="285" t="s">
        <v>157</v>
      </c>
      <c r="D127" s="286">
        <v>6</v>
      </c>
      <c r="E127" s="292">
        <v>5</v>
      </c>
      <c r="F127" s="292">
        <v>5</v>
      </c>
      <c r="G127" s="292">
        <v>5</v>
      </c>
      <c r="H127" s="292">
        <v>5</v>
      </c>
      <c r="I127" s="292">
        <v>10</v>
      </c>
      <c r="J127" s="291">
        <v>10</v>
      </c>
      <c r="K127" s="291">
        <v>10</v>
      </c>
      <c r="L127" s="291">
        <v>10</v>
      </c>
      <c r="M127" s="291">
        <v>10</v>
      </c>
      <c r="N127" s="291">
        <v>10</v>
      </c>
      <c r="O127" s="291">
        <v>10</v>
      </c>
      <c r="P127" s="291">
        <v>10</v>
      </c>
      <c r="S127" s="51">
        <f t="shared" si="18"/>
        <v>100</v>
      </c>
    </row>
    <row r="128" spans="1:19" x14ac:dyDescent="0.2">
      <c r="A128" s="289" t="str">
        <f t="shared" si="19"/>
        <v>12|10</v>
      </c>
      <c r="B128" s="290" t="s">
        <v>158</v>
      </c>
      <c r="C128" s="285" t="s">
        <v>151</v>
      </c>
      <c r="D128" s="286"/>
      <c r="E128" s="292">
        <v>10</v>
      </c>
      <c r="F128" s="292">
        <v>15</v>
      </c>
      <c r="G128" s="292">
        <v>10</v>
      </c>
      <c r="H128" s="292">
        <v>10</v>
      </c>
      <c r="I128" s="292">
        <v>10</v>
      </c>
      <c r="J128" s="291">
        <v>10</v>
      </c>
      <c r="K128" s="291">
        <v>10</v>
      </c>
      <c r="L128" s="291">
        <v>10</v>
      </c>
      <c r="M128" s="291">
        <v>10</v>
      </c>
      <c r="N128" s="291">
        <v>5</v>
      </c>
      <c r="O128" s="291"/>
      <c r="P128" s="291"/>
      <c r="S128" s="51">
        <f t="shared" si="18"/>
        <v>100</v>
      </c>
    </row>
    <row r="129" spans="1:19" x14ac:dyDescent="0.2">
      <c r="A129" s="289" t="str">
        <f t="shared" si="19"/>
        <v>12|11</v>
      </c>
      <c r="B129" s="290" t="s">
        <v>164</v>
      </c>
      <c r="C129" s="285" t="s">
        <v>176</v>
      </c>
      <c r="D129" s="286"/>
      <c r="E129" s="292">
        <v>1</v>
      </c>
      <c r="F129" s="292">
        <v>1</v>
      </c>
      <c r="G129" s="292">
        <v>10</v>
      </c>
      <c r="H129" s="292">
        <v>10</v>
      </c>
      <c r="I129" s="292">
        <v>15</v>
      </c>
      <c r="J129" s="291">
        <v>15</v>
      </c>
      <c r="K129" s="291">
        <v>15</v>
      </c>
      <c r="L129" s="291">
        <v>15</v>
      </c>
      <c r="M129" s="291">
        <v>5</v>
      </c>
      <c r="N129" s="291">
        <v>3</v>
      </c>
      <c r="O129" s="291">
        <v>5</v>
      </c>
      <c r="P129" s="291">
        <v>5</v>
      </c>
      <c r="S129" s="51">
        <f t="shared" si="18"/>
        <v>100</v>
      </c>
    </row>
    <row r="131" spans="1:19" x14ac:dyDescent="0.2">
      <c r="S131" s="51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1B8C5-B7A4-4A74-BC6F-8C4B665A5835}">
  <sheetPr>
    <pageSetUpPr fitToPage="1"/>
  </sheetPr>
  <dimension ref="A1:X55"/>
  <sheetViews>
    <sheetView showZeros="0" topLeftCell="B1" zoomScaleNormal="100" workbookViewId="0">
      <selection activeCell="G2" activeCellId="1" sqref="C2:E3 G2:G3"/>
    </sheetView>
  </sheetViews>
  <sheetFormatPr defaultColWidth="10.6640625" defaultRowHeight="12.75" x14ac:dyDescent="0.2"/>
  <cols>
    <col min="1" max="1" width="5" style="51" hidden="1" customWidth="1"/>
    <col min="2" max="2" width="13.1640625" style="51" customWidth="1"/>
    <col min="3" max="3" width="26.1640625" style="51" customWidth="1"/>
    <col min="4" max="4" width="17.6640625" style="51" customWidth="1"/>
    <col min="5" max="5" width="3.83203125" style="51" customWidth="1"/>
    <col min="6" max="15" width="12.5" style="51" customWidth="1"/>
    <col min="16" max="17" width="13.83203125" style="51" customWidth="1"/>
    <col min="18" max="18" width="8.33203125" style="51" bestFit="1" customWidth="1"/>
    <col min="19" max="19" width="14" style="51" customWidth="1"/>
    <col min="20" max="20" width="8.5" style="51" customWidth="1"/>
    <col min="21" max="22" width="0.6640625" style="51" customWidth="1"/>
    <col min="23" max="259" width="10.6640625" style="51"/>
    <col min="260" max="260" width="13.1640625" style="51" customWidth="1"/>
    <col min="261" max="261" width="79" style="51" customWidth="1"/>
    <col min="262" max="262" width="3.83203125" style="51" customWidth="1"/>
    <col min="263" max="275" width="12.5" style="51" customWidth="1"/>
    <col min="276" max="276" width="8.5" style="51" customWidth="1"/>
    <col min="277" max="515" width="10.6640625" style="51"/>
    <col min="516" max="516" width="13.1640625" style="51" customWidth="1"/>
    <col min="517" max="517" width="79" style="51" customWidth="1"/>
    <col min="518" max="518" width="3.83203125" style="51" customWidth="1"/>
    <col min="519" max="531" width="12.5" style="51" customWidth="1"/>
    <col min="532" max="532" width="8.5" style="51" customWidth="1"/>
    <col min="533" max="771" width="10.6640625" style="51"/>
    <col min="772" max="772" width="13.1640625" style="51" customWidth="1"/>
    <col min="773" max="773" width="79" style="51" customWidth="1"/>
    <col min="774" max="774" width="3.83203125" style="51" customWidth="1"/>
    <col min="775" max="787" width="12.5" style="51" customWidth="1"/>
    <col min="788" max="788" width="8.5" style="51" customWidth="1"/>
    <col min="789" max="1027" width="10.6640625" style="51"/>
    <col min="1028" max="1028" width="13.1640625" style="51" customWidth="1"/>
    <col min="1029" max="1029" width="79" style="51" customWidth="1"/>
    <col min="1030" max="1030" width="3.83203125" style="51" customWidth="1"/>
    <col min="1031" max="1043" width="12.5" style="51" customWidth="1"/>
    <col min="1044" max="1044" width="8.5" style="51" customWidth="1"/>
    <col min="1045" max="1283" width="10.6640625" style="51"/>
    <col min="1284" max="1284" width="13.1640625" style="51" customWidth="1"/>
    <col min="1285" max="1285" width="79" style="51" customWidth="1"/>
    <col min="1286" max="1286" width="3.83203125" style="51" customWidth="1"/>
    <col min="1287" max="1299" width="12.5" style="51" customWidth="1"/>
    <col min="1300" max="1300" width="8.5" style="51" customWidth="1"/>
    <col min="1301" max="1539" width="10.6640625" style="51"/>
    <col min="1540" max="1540" width="13.1640625" style="51" customWidth="1"/>
    <col min="1541" max="1541" width="79" style="51" customWidth="1"/>
    <col min="1542" max="1542" width="3.83203125" style="51" customWidth="1"/>
    <col min="1543" max="1555" width="12.5" style="51" customWidth="1"/>
    <col min="1556" max="1556" width="8.5" style="51" customWidth="1"/>
    <col min="1557" max="1795" width="10.6640625" style="51"/>
    <col min="1796" max="1796" width="13.1640625" style="51" customWidth="1"/>
    <col min="1797" max="1797" width="79" style="51" customWidth="1"/>
    <col min="1798" max="1798" width="3.83203125" style="51" customWidth="1"/>
    <col min="1799" max="1811" width="12.5" style="51" customWidth="1"/>
    <col min="1812" max="1812" width="8.5" style="51" customWidth="1"/>
    <col min="1813" max="2051" width="10.6640625" style="51"/>
    <col min="2052" max="2052" width="13.1640625" style="51" customWidth="1"/>
    <col min="2053" max="2053" width="79" style="51" customWidth="1"/>
    <col min="2054" max="2054" width="3.83203125" style="51" customWidth="1"/>
    <col min="2055" max="2067" width="12.5" style="51" customWidth="1"/>
    <col min="2068" max="2068" width="8.5" style="51" customWidth="1"/>
    <col min="2069" max="2307" width="10.6640625" style="51"/>
    <col min="2308" max="2308" width="13.1640625" style="51" customWidth="1"/>
    <col min="2309" max="2309" width="79" style="51" customWidth="1"/>
    <col min="2310" max="2310" width="3.83203125" style="51" customWidth="1"/>
    <col min="2311" max="2323" width="12.5" style="51" customWidth="1"/>
    <col min="2324" max="2324" width="8.5" style="51" customWidth="1"/>
    <col min="2325" max="2563" width="10.6640625" style="51"/>
    <col min="2564" max="2564" width="13.1640625" style="51" customWidth="1"/>
    <col min="2565" max="2565" width="79" style="51" customWidth="1"/>
    <col min="2566" max="2566" width="3.83203125" style="51" customWidth="1"/>
    <col min="2567" max="2579" width="12.5" style="51" customWidth="1"/>
    <col min="2580" max="2580" width="8.5" style="51" customWidth="1"/>
    <col min="2581" max="2819" width="10.6640625" style="51"/>
    <col min="2820" max="2820" width="13.1640625" style="51" customWidth="1"/>
    <col min="2821" max="2821" width="79" style="51" customWidth="1"/>
    <col min="2822" max="2822" width="3.83203125" style="51" customWidth="1"/>
    <col min="2823" max="2835" width="12.5" style="51" customWidth="1"/>
    <col min="2836" max="2836" width="8.5" style="51" customWidth="1"/>
    <col min="2837" max="3075" width="10.6640625" style="51"/>
    <col min="3076" max="3076" width="13.1640625" style="51" customWidth="1"/>
    <col min="3077" max="3077" width="79" style="51" customWidth="1"/>
    <col min="3078" max="3078" width="3.83203125" style="51" customWidth="1"/>
    <col min="3079" max="3091" width="12.5" style="51" customWidth="1"/>
    <col min="3092" max="3092" width="8.5" style="51" customWidth="1"/>
    <col min="3093" max="3331" width="10.6640625" style="51"/>
    <col min="3332" max="3332" width="13.1640625" style="51" customWidth="1"/>
    <col min="3333" max="3333" width="79" style="51" customWidth="1"/>
    <col min="3334" max="3334" width="3.83203125" style="51" customWidth="1"/>
    <col min="3335" max="3347" width="12.5" style="51" customWidth="1"/>
    <col min="3348" max="3348" width="8.5" style="51" customWidth="1"/>
    <col min="3349" max="3587" width="10.6640625" style="51"/>
    <col min="3588" max="3588" width="13.1640625" style="51" customWidth="1"/>
    <col min="3589" max="3589" width="79" style="51" customWidth="1"/>
    <col min="3590" max="3590" width="3.83203125" style="51" customWidth="1"/>
    <col min="3591" max="3603" width="12.5" style="51" customWidth="1"/>
    <col min="3604" max="3604" width="8.5" style="51" customWidth="1"/>
    <col min="3605" max="3843" width="10.6640625" style="51"/>
    <col min="3844" max="3844" width="13.1640625" style="51" customWidth="1"/>
    <col min="3845" max="3845" width="79" style="51" customWidth="1"/>
    <col min="3846" max="3846" width="3.83203125" style="51" customWidth="1"/>
    <col min="3847" max="3859" width="12.5" style="51" customWidth="1"/>
    <col min="3860" max="3860" width="8.5" style="51" customWidth="1"/>
    <col min="3861" max="4099" width="10.6640625" style="51"/>
    <col min="4100" max="4100" width="13.1640625" style="51" customWidth="1"/>
    <col min="4101" max="4101" width="79" style="51" customWidth="1"/>
    <col min="4102" max="4102" width="3.83203125" style="51" customWidth="1"/>
    <col min="4103" max="4115" width="12.5" style="51" customWidth="1"/>
    <col min="4116" max="4116" width="8.5" style="51" customWidth="1"/>
    <col min="4117" max="4355" width="10.6640625" style="51"/>
    <col min="4356" max="4356" width="13.1640625" style="51" customWidth="1"/>
    <col min="4357" max="4357" width="79" style="51" customWidth="1"/>
    <col min="4358" max="4358" width="3.83203125" style="51" customWidth="1"/>
    <col min="4359" max="4371" width="12.5" style="51" customWidth="1"/>
    <col min="4372" max="4372" width="8.5" style="51" customWidth="1"/>
    <col min="4373" max="4611" width="10.6640625" style="51"/>
    <col min="4612" max="4612" width="13.1640625" style="51" customWidth="1"/>
    <col min="4613" max="4613" width="79" style="51" customWidth="1"/>
    <col min="4614" max="4614" width="3.83203125" style="51" customWidth="1"/>
    <col min="4615" max="4627" width="12.5" style="51" customWidth="1"/>
    <col min="4628" max="4628" width="8.5" style="51" customWidth="1"/>
    <col min="4629" max="4867" width="10.6640625" style="51"/>
    <col min="4868" max="4868" width="13.1640625" style="51" customWidth="1"/>
    <col min="4869" max="4869" width="79" style="51" customWidth="1"/>
    <col min="4870" max="4870" width="3.83203125" style="51" customWidth="1"/>
    <col min="4871" max="4883" width="12.5" style="51" customWidth="1"/>
    <col min="4884" max="4884" width="8.5" style="51" customWidth="1"/>
    <col min="4885" max="5123" width="10.6640625" style="51"/>
    <col min="5124" max="5124" width="13.1640625" style="51" customWidth="1"/>
    <col min="5125" max="5125" width="79" style="51" customWidth="1"/>
    <col min="5126" max="5126" width="3.83203125" style="51" customWidth="1"/>
    <col min="5127" max="5139" width="12.5" style="51" customWidth="1"/>
    <col min="5140" max="5140" width="8.5" style="51" customWidth="1"/>
    <col min="5141" max="5379" width="10.6640625" style="51"/>
    <col min="5380" max="5380" width="13.1640625" style="51" customWidth="1"/>
    <col min="5381" max="5381" width="79" style="51" customWidth="1"/>
    <col min="5382" max="5382" width="3.83203125" style="51" customWidth="1"/>
    <col min="5383" max="5395" width="12.5" style="51" customWidth="1"/>
    <col min="5396" max="5396" width="8.5" style="51" customWidth="1"/>
    <col min="5397" max="5635" width="10.6640625" style="51"/>
    <col min="5636" max="5636" width="13.1640625" style="51" customWidth="1"/>
    <col min="5637" max="5637" width="79" style="51" customWidth="1"/>
    <col min="5638" max="5638" width="3.83203125" style="51" customWidth="1"/>
    <col min="5639" max="5651" width="12.5" style="51" customWidth="1"/>
    <col min="5652" max="5652" width="8.5" style="51" customWidth="1"/>
    <col min="5653" max="5891" width="10.6640625" style="51"/>
    <col min="5892" max="5892" width="13.1640625" style="51" customWidth="1"/>
    <col min="5893" max="5893" width="79" style="51" customWidth="1"/>
    <col min="5894" max="5894" width="3.83203125" style="51" customWidth="1"/>
    <col min="5895" max="5907" width="12.5" style="51" customWidth="1"/>
    <col min="5908" max="5908" width="8.5" style="51" customWidth="1"/>
    <col min="5909" max="6147" width="10.6640625" style="51"/>
    <col min="6148" max="6148" width="13.1640625" style="51" customWidth="1"/>
    <col min="6149" max="6149" width="79" style="51" customWidth="1"/>
    <col min="6150" max="6150" width="3.83203125" style="51" customWidth="1"/>
    <col min="6151" max="6163" width="12.5" style="51" customWidth="1"/>
    <col min="6164" max="6164" width="8.5" style="51" customWidth="1"/>
    <col min="6165" max="6403" width="10.6640625" style="51"/>
    <col min="6404" max="6404" width="13.1640625" style="51" customWidth="1"/>
    <col min="6405" max="6405" width="79" style="51" customWidth="1"/>
    <col min="6406" max="6406" width="3.83203125" style="51" customWidth="1"/>
    <col min="6407" max="6419" width="12.5" style="51" customWidth="1"/>
    <col min="6420" max="6420" width="8.5" style="51" customWidth="1"/>
    <col min="6421" max="6659" width="10.6640625" style="51"/>
    <col min="6660" max="6660" width="13.1640625" style="51" customWidth="1"/>
    <col min="6661" max="6661" width="79" style="51" customWidth="1"/>
    <col min="6662" max="6662" width="3.83203125" style="51" customWidth="1"/>
    <col min="6663" max="6675" width="12.5" style="51" customWidth="1"/>
    <col min="6676" max="6676" width="8.5" style="51" customWidth="1"/>
    <col min="6677" max="6915" width="10.6640625" style="51"/>
    <col min="6916" max="6916" width="13.1640625" style="51" customWidth="1"/>
    <col min="6917" max="6917" width="79" style="51" customWidth="1"/>
    <col min="6918" max="6918" width="3.83203125" style="51" customWidth="1"/>
    <col min="6919" max="6931" width="12.5" style="51" customWidth="1"/>
    <col min="6932" max="6932" width="8.5" style="51" customWidth="1"/>
    <col min="6933" max="7171" width="10.6640625" style="51"/>
    <col min="7172" max="7172" width="13.1640625" style="51" customWidth="1"/>
    <col min="7173" max="7173" width="79" style="51" customWidth="1"/>
    <col min="7174" max="7174" width="3.83203125" style="51" customWidth="1"/>
    <col min="7175" max="7187" width="12.5" style="51" customWidth="1"/>
    <col min="7188" max="7188" width="8.5" style="51" customWidth="1"/>
    <col min="7189" max="7427" width="10.6640625" style="51"/>
    <col min="7428" max="7428" width="13.1640625" style="51" customWidth="1"/>
    <col min="7429" max="7429" width="79" style="51" customWidth="1"/>
    <col min="7430" max="7430" width="3.83203125" style="51" customWidth="1"/>
    <col min="7431" max="7443" width="12.5" style="51" customWidth="1"/>
    <col min="7444" max="7444" width="8.5" style="51" customWidth="1"/>
    <col min="7445" max="7683" width="10.6640625" style="51"/>
    <col min="7684" max="7684" width="13.1640625" style="51" customWidth="1"/>
    <col min="7685" max="7685" width="79" style="51" customWidth="1"/>
    <col min="7686" max="7686" width="3.83203125" style="51" customWidth="1"/>
    <col min="7687" max="7699" width="12.5" style="51" customWidth="1"/>
    <col min="7700" max="7700" width="8.5" style="51" customWidth="1"/>
    <col min="7701" max="7939" width="10.6640625" style="51"/>
    <col min="7940" max="7940" width="13.1640625" style="51" customWidth="1"/>
    <col min="7941" max="7941" width="79" style="51" customWidth="1"/>
    <col min="7942" max="7942" width="3.83203125" style="51" customWidth="1"/>
    <col min="7943" max="7955" width="12.5" style="51" customWidth="1"/>
    <col min="7956" max="7956" width="8.5" style="51" customWidth="1"/>
    <col min="7957" max="8195" width="10.6640625" style="51"/>
    <col min="8196" max="8196" width="13.1640625" style="51" customWidth="1"/>
    <col min="8197" max="8197" width="79" style="51" customWidth="1"/>
    <col min="8198" max="8198" width="3.83203125" style="51" customWidth="1"/>
    <col min="8199" max="8211" width="12.5" style="51" customWidth="1"/>
    <col min="8212" max="8212" width="8.5" style="51" customWidth="1"/>
    <col min="8213" max="8451" width="10.6640625" style="51"/>
    <col min="8452" max="8452" width="13.1640625" style="51" customWidth="1"/>
    <col min="8453" max="8453" width="79" style="51" customWidth="1"/>
    <col min="8454" max="8454" width="3.83203125" style="51" customWidth="1"/>
    <col min="8455" max="8467" width="12.5" style="51" customWidth="1"/>
    <col min="8468" max="8468" width="8.5" style="51" customWidth="1"/>
    <col min="8469" max="8707" width="10.6640625" style="51"/>
    <col min="8708" max="8708" width="13.1640625" style="51" customWidth="1"/>
    <col min="8709" max="8709" width="79" style="51" customWidth="1"/>
    <col min="8710" max="8710" width="3.83203125" style="51" customWidth="1"/>
    <col min="8711" max="8723" width="12.5" style="51" customWidth="1"/>
    <col min="8724" max="8724" width="8.5" style="51" customWidth="1"/>
    <col min="8725" max="8963" width="10.6640625" style="51"/>
    <col min="8964" max="8964" width="13.1640625" style="51" customWidth="1"/>
    <col min="8965" max="8965" width="79" style="51" customWidth="1"/>
    <col min="8966" max="8966" width="3.83203125" style="51" customWidth="1"/>
    <col min="8967" max="8979" width="12.5" style="51" customWidth="1"/>
    <col min="8980" max="8980" width="8.5" style="51" customWidth="1"/>
    <col min="8981" max="9219" width="10.6640625" style="51"/>
    <col min="9220" max="9220" width="13.1640625" style="51" customWidth="1"/>
    <col min="9221" max="9221" width="79" style="51" customWidth="1"/>
    <col min="9222" max="9222" width="3.83203125" style="51" customWidth="1"/>
    <col min="9223" max="9235" width="12.5" style="51" customWidth="1"/>
    <col min="9236" max="9236" width="8.5" style="51" customWidth="1"/>
    <col min="9237" max="9475" width="10.6640625" style="51"/>
    <col min="9476" max="9476" width="13.1640625" style="51" customWidth="1"/>
    <col min="9477" max="9477" width="79" style="51" customWidth="1"/>
    <col min="9478" max="9478" width="3.83203125" style="51" customWidth="1"/>
    <col min="9479" max="9491" width="12.5" style="51" customWidth="1"/>
    <col min="9492" max="9492" width="8.5" style="51" customWidth="1"/>
    <col min="9493" max="9731" width="10.6640625" style="51"/>
    <col min="9732" max="9732" width="13.1640625" style="51" customWidth="1"/>
    <col min="9733" max="9733" width="79" style="51" customWidth="1"/>
    <col min="9734" max="9734" width="3.83203125" style="51" customWidth="1"/>
    <col min="9735" max="9747" width="12.5" style="51" customWidth="1"/>
    <col min="9748" max="9748" width="8.5" style="51" customWidth="1"/>
    <col min="9749" max="9987" width="10.6640625" style="51"/>
    <col min="9988" max="9988" width="13.1640625" style="51" customWidth="1"/>
    <col min="9989" max="9989" width="79" style="51" customWidth="1"/>
    <col min="9990" max="9990" width="3.83203125" style="51" customWidth="1"/>
    <col min="9991" max="10003" width="12.5" style="51" customWidth="1"/>
    <col min="10004" max="10004" width="8.5" style="51" customWidth="1"/>
    <col min="10005" max="10243" width="10.6640625" style="51"/>
    <col min="10244" max="10244" width="13.1640625" style="51" customWidth="1"/>
    <col min="10245" max="10245" width="79" style="51" customWidth="1"/>
    <col min="10246" max="10246" width="3.83203125" style="51" customWidth="1"/>
    <col min="10247" max="10259" width="12.5" style="51" customWidth="1"/>
    <col min="10260" max="10260" width="8.5" style="51" customWidth="1"/>
    <col min="10261" max="10499" width="10.6640625" style="51"/>
    <col min="10500" max="10500" width="13.1640625" style="51" customWidth="1"/>
    <col min="10501" max="10501" width="79" style="51" customWidth="1"/>
    <col min="10502" max="10502" width="3.83203125" style="51" customWidth="1"/>
    <col min="10503" max="10515" width="12.5" style="51" customWidth="1"/>
    <col min="10516" max="10516" width="8.5" style="51" customWidth="1"/>
    <col min="10517" max="10755" width="10.6640625" style="51"/>
    <col min="10756" max="10756" width="13.1640625" style="51" customWidth="1"/>
    <col min="10757" max="10757" width="79" style="51" customWidth="1"/>
    <col min="10758" max="10758" width="3.83203125" style="51" customWidth="1"/>
    <col min="10759" max="10771" width="12.5" style="51" customWidth="1"/>
    <col min="10772" max="10772" width="8.5" style="51" customWidth="1"/>
    <col min="10773" max="11011" width="10.6640625" style="51"/>
    <col min="11012" max="11012" width="13.1640625" style="51" customWidth="1"/>
    <col min="11013" max="11013" width="79" style="51" customWidth="1"/>
    <col min="11014" max="11014" width="3.83203125" style="51" customWidth="1"/>
    <col min="11015" max="11027" width="12.5" style="51" customWidth="1"/>
    <col min="11028" max="11028" width="8.5" style="51" customWidth="1"/>
    <col min="11029" max="11267" width="10.6640625" style="51"/>
    <col min="11268" max="11268" width="13.1640625" style="51" customWidth="1"/>
    <col min="11269" max="11269" width="79" style="51" customWidth="1"/>
    <col min="11270" max="11270" width="3.83203125" style="51" customWidth="1"/>
    <col min="11271" max="11283" width="12.5" style="51" customWidth="1"/>
    <col min="11284" max="11284" width="8.5" style="51" customWidth="1"/>
    <col min="11285" max="11523" width="10.6640625" style="51"/>
    <col min="11524" max="11524" width="13.1640625" style="51" customWidth="1"/>
    <col min="11525" max="11525" width="79" style="51" customWidth="1"/>
    <col min="11526" max="11526" width="3.83203125" style="51" customWidth="1"/>
    <col min="11527" max="11539" width="12.5" style="51" customWidth="1"/>
    <col min="11540" max="11540" width="8.5" style="51" customWidth="1"/>
    <col min="11541" max="11779" width="10.6640625" style="51"/>
    <col min="11780" max="11780" width="13.1640625" style="51" customWidth="1"/>
    <col min="11781" max="11781" width="79" style="51" customWidth="1"/>
    <col min="11782" max="11782" width="3.83203125" style="51" customWidth="1"/>
    <col min="11783" max="11795" width="12.5" style="51" customWidth="1"/>
    <col min="11796" max="11796" width="8.5" style="51" customWidth="1"/>
    <col min="11797" max="12035" width="10.6640625" style="51"/>
    <col min="12036" max="12036" width="13.1640625" style="51" customWidth="1"/>
    <col min="12037" max="12037" width="79" style="51" customWidth="1"/>
    <col min="12038" max="12038" width="3.83203125" style="51" customWidth="1"/>
    <col min="12039" max="12051" width="12.5" style="51" customWidth="1"/>
    <col min="12052" max="12052" width="8.5" style="51" customWidth="1"/>
    <col min="12053" max="12291" width="10.6640625" style="51"/>
    <col min="12292" max="12292" width="13.1640625" style="51" customWidth="1"/>
    <col min="12293" max="12293" width="79" style="51" customWidth="1"/>
    <col min="12294" max="12294" width="3.83203125" style="51" customWidth="1"/>
    <col min="12295" max="12307" width="12.5" style="51" customWidth="1"/>
    <col min="12308" max="12308" width="8.5" style="51" customWidth="1"/>
    <col min="12309" max="12547" width="10.6640625" style="51"/>
    <col min="12548" max="12548" width="13.1640625" style="51" customWidth="1"/>
    <col min="12549" max="12549" width="79" style="51" customWidth="1"/>
    <col min="12550" max="12550" width="3.83203125" style="51" customWidth="1"/>
    <col min="12551" max="12563" width="12.5" style="51" customWidth="1"/>
    <col min="12564" max="12564" width="8.5" style="51" customWidth="1"/>
    <col min="12565" max="12803" width="10.6640625" style="51"/>
    <col min="12804" max="12804" width="13.1640625" style="51" customWidth="1"/>
    <col min="12805" max="12805" width="79" style="51" customWidth="1"/>
    <col min="12806" max="12806" width="3.83203125" style="51" customWidth="1"/>
    <col min="12807" max="12819" width="12.5" style="51" customWidth="1"/>
    <col min="12820" max="12820" width="8.5" style="51" customWidth="1"/>
    <col min="12821" max="13059" width="10.6640625" style="51"/>
    <col min="13060" max="13060" width="13.1640625" style="51" customWidth="1"/>
    <col min="13061" max="13061" width="79" style="51" customWidth="1"/>
    <col min="13062" max="13062" width="3.83203125" style="51" customWidth="1"/>
    <col min="13063" max="13075" width="12.5" style="51" customWidth="1"/>
    <col min="13076" max="13076" width="8.5" style="51" customWidth="1"/>
    <col min="13077" max="13315" width="10.6640625" style="51"/>
    <col min="13316" max="13316" width="13.1640625" style="51" customWidth="1"/>
    <col min="13317" max="13317" width="79" style="51" customWidth="1"/>
    <col min="13318" max="13318" width="3.83203125" style="51" customWidth="1"/>
    <col min="13319" max="13331" width="12.5" style="51" customWidth="1"/>
    <col min="13332" max="13332" width="8.5" style="51" customWidth="1"/>
    <col min="13333" max="13571" width="10.6640625" style="51"/>
    <col min="13572" max="13572" width="13.1640625" style="51" customWidth="1"/>
    <col min="13573" max="13573" width="79" style="51" customWidth="1"/>
    <col min="13574" max="13574" width="3.83203125" style="51" customWidth="1"/>
    <col min="13575" max="13587" width="12.5" style="51" customWidth="1"/>
    <col min="13588" max="13588" width="8.5" style="51" customWidth="1"/>
    <col min="13589" max="13827" width="10.6640625" style="51"/>
    <col min="13828" max="13828" width="13.1640625" style="51" customWidth="1"/>
    <col min="13829" max="13829" width="79" style="51" customWidth="1"/>
    <col min="13830" max="13830" width="3.83203125" style="51" customWidth="1"/>
    <col min="13831" max="13843" width="12.5" style="51" customWidth="1"/>
    <col min="13844" max="13844" width="8.5" style="51" customWidth="1"/>
    <col min="13845" max="14083" width="10.6640625" style="51"/>
    <col min="14084" max="14084" width="13.1640625" style="51" customWidth="1"/>
    <col min="14085" max="14085" width="79" style="51" customWidth="1"/>
    <col min="14086" max="14086" width="3.83203125" style="51" customWidth="1"/>
    <col min="14087" max="14099" width="12.5" style="51" customWidth="1"/>
    <col min="14100" max="14100" width="8.5" style="51" customWidth="1"/>
    <col min="14101" max="14339" width="10.6640625" style="51"/>
    <col min="14340" max="14340" width="13.1640625" style="51" customWidth="1"/>
    <col min="14341" max="14341" width="79" style="51" customWidth="1"/>
    <col min="14342" max="14342" width="3.83203125" style="51" customWidth="1"/>
    <col min="14343" max="14355" width="12.5" style="51" customWidth="1"/>
    <col min="14356" max="14356" width="8.5" style="51" customWidth="1"/>
    <col min="14357" max="14595" width="10.6640625" style="51"/>
    <col min="14596" max="14596" width="13.1640625" style="51" customWidth="1"/>
    <col min="14597" max="14597" width="79" style="51" customWidth="1"/>
    <col min="14598" max="14598" width="3.83203125" style="51" customWidth="1"/>
    <col min="14599" max="14611" width="12.5" style="51" customWidth="1"/>
    <col min="14612" max="14612" width="8.5" style="51" customWidth="1"/>
    <col min="14613" max="14851" width="10.6640625" style="51"/>
    <col min="14852" max="14852" width="13.1640625" style="51" customWidth="1"/>
    <col min="14853" max="14853" width="79" style="51" customWidth="1"/>
    <col min="14854" max="14854" width="3.83203125" style="51" customWidth="1"/>
    <col min="14855" max="14867" width="12.5" style="51" customWidth="1"/>
    <col min="14868" max="14868" width="8.5" style="51" customWidth="1"/>
    <col min="14869" max="15107" width="10.6640625" style="51"/>
    <col min="15108" max="15108" width="13.1640625" style="51" customWidth="1"/>
    <col min="15109" max="15109" width="79" style="51" customWidth="1"/>
    <col min="15110" max="15110" width="3.83203125" style="51" customWidth="1"/>
    <col min="15111" max="15123" width="12.5" style="51" customWidth="1"/>
    <col min="15124" max="15124" width="8.5" style="51" customWidth="1"/>
    <col min="15125" max="15363" width="10.6640625" style="51"/>
    <col min="15364" max="15364" width="13.1640625" style="51" customWidth="1"/>
    <col min="15365" max="15365" width="79" style="51" customWidth="1"/>
    <col min="15366" max="15366" width="3.83203125" style="51" customWidth="1"/>
    <col min="15367" max="15379" width="12.5" style="51" customWidth="1"/>
    <col min="15380" max="15380" width="8.5" style="51" customWidth="1"/>
    <col min="15381" max="15619" width="10.6640625" style="51"/>
    <col min="15620" max="15620" width="13.1640625" style="51" customWidth="1"/>
    <col min="15621" max="15621" width="79" style="51" customWidth="1"/>
    <col min="15622" max="15622" width="3.83203125" style="51" customWidth="1"/>
    <col min="15623" max="15635" width="12.5" style="51" customWidth="1"/>
    <col min="15636" max="15636" width="8.5" style="51" customWidth="1"/>
    <col min="15637" max="15875" width="10.6640625" style="51"/>
    <col min="15876" max="15876" width="13.1640625" style="51" customWidth="1"/>
    <col min="15877" max="15877" width="79" style="51" customWidth="1"/>
    <col min="15878" max="15878" width="3.83203125" style="51" customWidth="1"/>
    <col min="15879" max="15891" width="12.5" style="51" customWidth="1"/>
    <col min="15892" max="15892" width="8.5" style="51" customWidth="1"/>
    <col min="15893" max="16131" width="10.6640625" style="51"/>
    <col min="16132" max="16132" width="13.1640625" style="51" customWidth="1"/>
    <col min="16133" max="16133" width="79" style="51" customWidth="1"/>
    <col min="16134" max="16134" width="3.83203125" style="51" customWidth="1"/>
    <col min="16135" max="16147" width="12.5" style="51" customWidth="1"/>
    <col min="16148" max="16148" width="8.5" style="51" customWidth="1"/>
    <col min="16149" max="16384" width="10.6640625" style="51"/>
  </cols>
  <sheetData>
    <row r="1" spans="1:24" ht="26.25" x14ac:dyDescent="0.3">
      <c r="A1" s="104"/>
      <c r="B1" s="299" t="s">
        <v>384</v>
      </c>
      <c r="C1" s="300" t="s">
        <v>238</v>
      </c>
      <c r="D1" s="300"/>
      <c r="E1" s="301"/>
      <c r="F1" s="302"/>
      <c r="G1" s="302"/>
      <c r="H1" s="303"/>
      <c r="I1" s="303"/>
      <c r="J1" s="303"/>
      <c r="K1" s="105" t="s">
        <v>189</v>
      </c>
      <c r="L1" s="303"/>
      <c r="M1" s="303"/>
      <c r="N1" s="304"/>
      <c r="O1" s="304"/>
      <c r="P1" s="303"/>
      <c r="Q1" s="303"/>
      <c r="R1" s="303"/>
      <c r="S1" s="303"/>
      <c r="T1" s="305"/>
    </row>
    <row r="2" spans="1:24" x14ac:dyDescent="0.2">
      <c r="A2" s="104"/>
      <c r="B2" s="306" t="s">
        <v>84</v>
      </c>
      <c r="C2" s="524"/>
      <c r="D2" s="525"/>
      <c r="E2" s="525"/>
      <c r="F2" s="307" t="s">
        <v>85</v>
      </c>
      <c r="G2" s="529"/>
      <c r="H2" s="308" t="s">
        <v>239</v>
      </c>
      <c r="I2" s="309"/>
      <c r="J2" s="308" t="s">
        <v>240</v>
      </c>
      <c r="K2" s="309"/>
      <c r="L2" s="308" t="s">
        <v>241</v>
      </c>
      <c r="M2" s="310"/>
      <c r="N2" s="466"/>
      <c r="O2" s="309"/>
      <c r="P2" s="311" t="s">
        <v>296</v>
      </c>
      <c r="Q2" s="312"/>
      <c r="R2" s="312"/>
      <c r="S2" s="313"/>
      <c r="T2" s="314">
        <f>IF(S4=0,0,S2/S4)</f>
        <v>0</v>
      </c>
    </row>
    <row r="3" spans="1:24" ht="15" customHeight="1" thickBot="1" x14ac:dyDescent="0.25">
      <c r="A3" s="104"/>
      <c r="B3" s="315" t="s">
        <v>382</v>
      </c>
      <c r="C3" s="526"/>
      <c r="D3" s="527"/>
      <c r="E3" s="528"/>
      <c r="F3" s="316" t="s">
        <v>86</v>
      </c>
      <c r="G3" s="530"/>
      <c r="H3" s="317" t="s">
        <v>242</v>
      </c>
      <c r="I3" s="318">
        <f ca="1">TODAY()</f>
        <v>44700</v>
      </c>
      <c r="J3" s="317" t="s">
        <v>243</v>
      </c>
      <c r="K3" s="319">
        <f>80-10</f>
        <v>70</v>
      </c>
      <c r="L3" s="317" t="s">
        <v>242</v>
      </c>
      <c r="M3" s="320">
        <f ca="1">I3+K3+10</f>
        <v>44780</v>
      </c>
      <c r="N3" s="317"/>
      <c r="O3" s="467"/>
      <c r="P3" s="321" t="s">
        <v>244</v>
      </c>
      <c r="Q3" s="322"/>
      <c r="R3" s="323"/>
      <c r="S3" s="324"/>
      <c r="T3" s="325">
        <f>IF(S3=0,0,1-T2)</f>
        <v>0</v>
      </c>
    </row>
    <row r="4" spans="1:24" ht="18.75" thickBot="1" x14ac:dyDescent="0.3">
      <c r="A4" s="104"/>
      <c r="B4" s="326" t="s">
        <v>245</v>
      </c>
      <c r="C4" s="327"/>
      <c r="D4" s="328"/>
      <c r="E4" s="329" t="s">
        <v>246</v>
      </c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1" t="s">
        <v>247</v>
      </c>
      <c r="Q4" s="332"/>
      <c r="R4" s="332"/>
      <c r="S4" s="333">
        <f>SUM(S2:S3)</f>
        <v>0</v>
      </c>
      <c r="T4" s="334">
        <f>SUM(T2:T3)</f>
        <v>0</v>
      </c>
    </row>
    <row r="5" spans="1:24" ht="12.75" customHeight="1" thickBot="1" x14ac:dyDescent="0.25">
      <c r="A5" s="104"/>
      <c r="B5" s="335" t="s">
        <v>248</v>
      </c>
      <c r="C5" s="336" t="s">
        <v>249</v>
      </c>
      <c r="D5" s="337"/>
      <c r="E5" s="338" t="s">
        <v>35</v>
      </c>
      <c r="F5" s="339" t="s">
        <v>250</v>
      </c>
      <c r="G5" s="340"/>
      <c r="H5" s="340"/>
      <c r="I5" s="340"/>
      <c r="J5" s="340"/>
      <c r="K5" s="340"/>
      <c r="L5" s="340"/>
      <c r="M5" s="341"/>
      <c r="N5" s="341"/>
      <c r="O5" s="341"/>
      <c r="P5" s="342"/>
      <c r="Q5" s="343"/>
      <c r="R5" s="344"/>
      <c r="S5" s="345" t="s">
        <v>161</v>
      </c>
      <c r="T5" s="346" t="s">
        <v>251</v>
      </c>
      <c r="W5" s="51" t="s">
        <v>252</v>
      </c>
      <c r="X5" s="347" t="str">
        <f>IF(S4=S51,"OK","erro")</f>
        <v>OK</v>
      </c>
    </row>
    <row r="6" spans="1:24" ht="13.5" thickBot="1" x14ac:dyDescent="0.25">
      <c r="A6" s="104"/>
      <c r="B6" s="348" t="s">
        <v>253</v>
      </c>
      <c r="C6" s="349"/>
      <c r="D6" s="350"/>
      <c r="E6" s="351">
        <v>6</v>
      </c>
      <c r="F6" s="352">
        <f>IF(E6=0,0,1)</f>
        <v>1</v>
      </c>
      <c r="G6" s="352">
        <f>IF($E$6&lt;2,0,2)</f>
        <v>2</v>
      </c>
      <c r="H6" s="352">
        <f>IF($E$6&lt;3,0,3)</f>
        <v>3</v>
      </c>
      <c r="I6" s="352">
        <f>IF($E$6&lt;4,0,4)</f>
        <v>4</v>
      </c>
      <c r="J6" s="352">
        <f>IF($E$6&lt;5,0,5)</f>
        <v>5</v>
      </c>
      <c r="K6" s="352">
        <f>IF($E$6&lt;6,0,6)</f>
        <v>6</v>
      </c>
      <c r="L6" s="352">
        <f>IF($E$6&lt;7,0,7)</f>
        <v>0</v>
      </c>
      <c r="M6" s="352">
        <f>IF($E$6&lt;8,0,8)</f>
        <v>0</v>
      </c>
      <c r="N6" s="352">
        <f>IF($E$6&lt;9,0,9)</f>
        <v>0</v>
      </c>
      <c r="O6" s="352">
        <f>IF($E$6&lt;10,0,10)</f>
        <v>0</v>
      </c>
      <c r="P6" s="352">
        <f>IF($E$6&lt;11,0,11)</f>
        <v>0</v>
      </c>
      <c r="Q6" s="353">
        <f>IF($E$6&lt;12,0,12)</f>
        <v>0</v>
      </c>
      <c r="R6" s="354"/>
      <c r="S6" s="355" t="s">
        <v>254</v>
      </c>
      <c r="T6" s="356" t="s">
        <v>161</v>
      </c>
    </row>
    <row r="7" spans="1:24" ht="14.25" thickTop="1" thickBot="1" x14ac:dyDescent="0.25">
      <c r="A7" s="104"/>
      <c r="B7" s="348"/>
      <c r="C7" s="349" t="s">
        <v>255</v>
      </c>
      <c r="D7" s="350"/>
      <c r="E7" s="357"/>
      <c r="F7" s="358">
        <f ca="1">IF(E6=0,0,M3)</f>
        <v>44780</v>
      </c>
      <c r="G7" s="358">
        <f ca="1">IF(G6=0,0,F8+1)</f>
        <v>44811</v>
      </c>
      <c r="H7" s="358">
        <f ca="1">IF(H6=0,0,G8+1)</f>
        <v>44842</v>
      </c>
      <c r="I7" s="358">
        <f ca="1">IF(I6=0,0,H8+1)</f>
        <v>44873</v>
      </c>
      <c r="J7" s="358">
        <f ca="1">IF(J6=0,0,I8+1)</f>
        <v>44904</v>
      </c>
      <c r="K7" s="358">
        <f t="shared" ref="K7:Q7" ca="1" si="0">IF(K6=0,0,J8+1)</f>
        <v>44935</v>
      </c>
      <c r="L7" s="358">
        <f t="shared" si="0"/>
        <v>0</v>
      </c>
      <c r="M7" s="358">
        <f t="shared" si="0"/>
        <v>0</v>
      </c>
      <c r="N7" s="358">
        <f t="shared" si="0"/>
        <v>0</v>
      </c>
      <c r="O7" s="358">
        <f t="shared" si="0"/>
        <v>0</v>
      </c>
      <c r="P7" s="358">
        <f t="shared" si="0"/>
        <v>0</v>
      </c>
      <c r="Q7" s="359">
        <f t="shared" si="0"/>
        <v>0</v>
      </c>
      <c r="R7" s="360"/>
      <c r="S7" s="355"/>
      <c r="T7" s="356"/>
    </row>
    <row r="8" spans="1:24" ht="14.25" thickTop="1" thickBot="1" x14ac:dyDescent="0.25">
      <c r="A8" s="104"/>
      <c r="B8" s="348"/>
      <c r="C8" s="349" t="s">
        <v>256</v>
      </c>
      <c r="D8" s="350"/>
      <c r="E8" s="357"/>
      <c r="F8" s="358">
        <f ca="1">IF(E6=0,0,F7+30)</f>
        <v>44810</v>
      </c>
      <c r="G8" s="358">
        <f t="shared" ref="G8:I8" ca="1" si="1">IF(G6=0,0,G7+30)</f>
        <v>44841</v>
      </c>
      <c r="H8" s="358">
        <f t="shared" ca="1" si="1"/>
        <v>44872</v>
      </c>
      <c r="I8" s="358">
        <f t="shared" ca="1" si="1"/>
        <v>44903</v>
      </c>
      <c r="J8" s="358">
        <f ca="1">IF(J6=0,0,J7+30)</f>
        <v>44934</v>
      </c>
      <c r="K8" s="358">
        <f t="shared" ref="K8:Q8" ca="1" si="2">IF(K6=0,0,K7+30)</f>
        <v>44965</v>
      </c>
      <c r="L8" s="358">
        <f t="shared" si="2"/>
        <v>0</v>
      </c>
      <c r="M8" s="358">
        <f t="shared" si="2"/>
        <v>0</v>
      </c>
      <c r="N8" s="358">
        <f t="shared" si="2"/>
        <v>0</v>
      </c>
      <c r="O8" s="358">
        <f t="shared" si="2"/>
        <v>0</v>
      </c>
      <c r="P8" s="358">
        <f t="shared" si="2"/>
        <v>0</v>
      </c>
      <c r="Q8" s="359">
        <f t="shared" si="2"/>
        <v>0</v>
      </c>
      <c r="R8" s="360"/>
      <c r="S8" s="355"/>
      <c r="T8" s="356"/>
    </row>
    <row r="9" spans="1:24" ht="13.5" thickTop="1" x14ac:dyDescent="0.2">
      <c r="A9" s="106" t="str">
        <f>CONCATENATE($E$6,"|",B9)</f>
        <v>6|1</v>
      </c>
      <c r="B9" s="361">
        <v>1</v>
      </c>
      <c r="C9" s="362" t="s">
        <v>152</v>
      </c>
      <c r="D9" s="363"/>
      <c r="E9" s="364">
        <v>1</v>
      </c>
      <c r="F9" s="365">
        <f>IF(E$6&lt;3,0,IF(F$6=0,0,VLOOKUP($A9,base!$A:$P,F$6+4,FALSE)))</f>
        <v>20</v>
      </c>
      <c r="G9" s="365">
        <f>IF(E$6&lt;3,0,IF(G$6=0,0,VLOOKUP($A9,base!$A:$P,G$6+4,FALSE)))</f>
        <v>30</v>
      </c>
      <c r="H9" s="365">
        <f>IF(H$6=0,0,VLOOKUP($A9,base!$A:$P,H$6+4,FALSE))</f>
        <v>30</v>
      </c>
      <c r="I9" s="365">
        <f>IF(I$6=0,0,VLOOKUP($A9,base!$A:$P,I$6+4,FALSE))</f>
        <v>20</v>
      </c>
      <c r="J9" s="365">
        <f>IF(J$6=0,0,VLOOKUP($A9,base!$A:$P,J$6+4,FALSE))</f>
        <v>0</v>
      </c>
      <c r="K9" s="365">
        <f>IF(K$6=0,0,VLOOKUP($A9,base!$A:$P,K$6+4,FALSE))</f>
        <v>0</v>
      </c>
      <c r="L9" s="365">
        <f>IF(L$6=0,0,VLOOKUP($A9,base!$A:$P,L$6+4,FALSE))</f>
        <v>0</v>
      </c>
      <c r="M9" s="365">
        <f>IF(M$6=0,0,VLOOKUP($A9,base!$A:$P,M$6+4,FALSE))</f>
        <v>0</v>
      </c>
      <c r="N9" s="365">
        <f>IF(N$6=0,0,VLOOKUP($A9,base!$A:$P,N$6+4,FALSE))</f>
        <v>0</v>
      </c>
      <c r="O9" s="365">
        <f>IF(O$6=0,0,VLOOKUP($A9,base!$A:$P,O$6+4,FALSE))</f>
        <v>0</v>
      </c>
      <c r="P9" s="365">
        <f>IF(P$6=0,0,VLOOKUP($A9,base!$A:$P,P$6+4,FALSE))</f>
        <v>0</v>
      </c>
      <c r="Q9" s="366">
        <f>IF(Q$6=0,0,VLOOKUP($A9,base!$A:$P,Q$6+4,FALSE))</f>
        <v>0</v>
      </c>
      <c r="R9" s="367"/>
      <c r="S9" s="368"/>
      <c r="T9" s="369">
        <f t="shared" ref="T9:T19" si="3">IF($S$21=0,0,(S9/$S$21)*100)</f>
        <v>0</v>
      </c>
      <c r="W9" s="104">
        <f t="shared" ref="W9:W19" si="4">SUM(F9:Q9)</f>
        <v>100</v>
      </c>
    </row>
    <row r="10" spans="1:24" x14ac:dyDescent="0.2">
      <c r="A10" s="106" t="str">
        <f t="shared" ref="A10:A19" si="5">CONCATENATE($E$6,"|",B10)</f>
        <v>6|2</v>
      </c>
      <c r="B10" s="370" t="s">
        <v>89</v>
      </c>
      <c r="C10" s="362" t="s">
        <v>148</v>
      </c>
      <c r="D10" s="363"/>
      <c r="E10" s="364">
        <v>2</v>
      </c>
      <c r="F10" s="365">
        <f>IF(E$6&lt;3,0,IF(F$6=0,0,VLOOKUP($A10,base!$A:$P,F$6+4,FALSE)))</f>
        <v>15</v>
      </c>
      <c r="G10" s="365">
        <f>IF(E$6&lt;3,0,IF(G$6=0,0,VLOOKUP($A10,base!$A:$P,G$6+4,FALSE)))</f>
        <v>25</v>
      </c>
      <c r="H10" s="365">
        <f>IF(H$6=0,0,VLOOKUP($A10,base!$A:$P,H$6+4,FALSE))</f>
        <v>30</v>
      </c>
      <c r="I10" s="365">
        <f>IF(I$6=0,0,VLOOKUP($A10,base!$A:$P,I$6+4,FALSE))</f>
        <v>25</v>
      </c>
      <c r="J10" s="365">
        <f>IF(J$6=0,0,VLOOKUP($A10,base!$A:$P,J$6+4,FALSE))</f>
        <v>5</v>
      </c>
      <c r="K10" s="365">
        <f>IF(K$6=0,0,VLOOKUP($A10,base!$A:$P,K$6+4,FALSE))</f>
        <v>0</v>
      </c>
      <c r="L10" s="365">
        <f>IF(L$6=0,0,VLOOKUP($A10,base!$A:$P,L$6+4,FALSE))</f>
        <v>0</v>
      </c>
      <c r="M10" s="365">
        <f>IF(M$6=0,0,VLOOKUP($A10,base!$A:$P,M$6+4,FALSE))</f>
        <v>0</v>
      </c>
      <c r="N10" s="365">
        <f>IF(N$6=0,0,VLOOKUP($A10,base!$A:$P,N$6+4,FALSE))</f>
        <v>0</v>
      </c>
      <c r="O10" s="365">
        <f>IF(O$6=0,0,VLOOKUP($A10,base!$A:$P,O$6+4,FALSE))</f>
        <v>0</v>
      </c>
      <c r="P10" s="365">
        <f>IF(P$6=0,0,VLOOKUP($A10,base!$A:$P,P$6+4,FALSE))</f>
        <v>0</v>
      </c>
      <c r="Q10" s="366">
        <f>IF(Q$6=0,0,VLOOKUP($A10,base!$A:$P,Q$6+4,FALSE))</f>
        <v>0</v>
      </c>
      <c r="R10" s="367"/>
      <c r="S10" s="368"/>
      <c r="T10" s="369">
        <f t="shared" si="3"/>
        <v>0</v>
      </c>
      <c r="W10" s="104">
        <f t="shared" si="4"/>
        <v>100</v>
      </c>
    </row>
    <row r="11" spans="1:24" x14ac:dyDescent="0.2">
      <c r="A11" s="106" t="str">
        <f t="shared" si="5"/>
        <v>6|3</v>
      </c>
      <c r="B11" s="370" t="s">
        <v>93</v>
      </c>
      <c r="C11" s="362" t="s">
        <v>153</v>
      </c>
      <c r="D11" s="363"/>
      <c r="E11" s="364">
        <v>3</v>
      </c>
      <c r="F11" s="365">
        <f>IF(E$6&lt;3,0,IF(F$6=0,0,VLOOKUP($A11,base!$A:$P,F$6+4,FALSE)))</f>
        <v>5</v>
      </c>
      <c r="G11" s="365">
        <f>IF(E$6&lt;3,0,IF(G$6=0,0,VLOOKUP($A11,base!$A:$P,G$6+4,FALSE)))</f>
        <v>20</v>
      </c>
      <c r="H11" s="365">
        <f>IF(H$6=0,0,VLOOKUP($A11,base!$A:$P,H$6+4,FALSE))</f>
        <v>30</v>
      </c>
      <c r="I11" s="365">
        <f>IF(I$6=0,0,VLOOKUP($A11,base!$A:$P,I$6+4,FALSE))</f>
        <v>25</v>
      </c>
      <c r="J11" s="365">
        <f>IF(J$6=0,0,VLOOKUP($A11,base!$A:$P,J$6+4,FALSE))</f>
        <v>20</v>
      </c>
      <c r="K11" s="365">
        <f>IF(K$6=0,0,VLOOKUP($A11,base!$A:$P,K$6+4,FALSE))</f>
        <v>0</v>
      </c>
      <c r="L11" s="365">
        <f>IF(L$6=0,0,VLOOKUP($A11,base!$A:$P,L$6+4,FALSE))</f>
        <v>0</v>
      </c>
      <c r="M11" s="365">
        <f>IF(M$6=0,0,VLOOKUP($A11,base!$A:$P,M$6+4,FALSE))</f>
        <v>0</v>
      </c>
      <c r="N11" s="365">
        <f>IF(N$6=0,0,VLOOKUP($A11,base!$A:$P,N$6+4,FALSE))</f>
        <v>0</v>
      </c>
      <c r="O11" s="365">
        <f>IF(O$6=0,0,VLOOKUP($A11,base!$A:$P,O$6+4,FALSE))</f>
        <v>0</v>
      </c>
      <c r="P11" s="365">
        <f>IF(P$6=0,0,VLOOKUP($A11,base!$A:$P,P$6+4,FALSE))</f>
        <v>0</v>
      </c>
      <c r="Q11" s="366">
        <f>IF(Q$6=0,0,VLOOKUP($A11,base!$A:$P,Q$6+4,FALSE))</f>
        <v>0</v>
      </c>
      <c r="R11" s="367"/>
      <c r="S11" s="368"/>
      <c r="T11" s="369">
        <f t="shared" si="3"/>
        <v>0</v>
      </c>
      <c r="W11" s="104">
        <f t="shared" si="4"/>
        <v>100</v>
      </c>
    </row>
    <row r="12" spans="1:24" x14ac:dyDescent="0.2">
      <c r="A12" s="106" t="str">
        <f t="shared" si="5"/>
        <v>6|4</v>
      </c>
      <c r="B12" s="370" t="s">
        <v>96</v>
      </c>
      <c r="C12" s="362" t="s">
        <v>149</v>
      </c>
      <c r="D12" s="363"/>
      <c r="E12" s="364">
        <v>4</v>
      </c>
      <c r="F12" s="365">
        <f>IF(E$6&lt;3,0,IF(F$6=0,0,VLOOKUP($A12,base!$A:$P,F$6+4,FALSE)))</f>
        <v>0</v>
      </c>
      <c r="G12" s="365">
        <f>IF(E$6&lt;3,0,IF(G$6=0,0,VLOOKUP($A12,base!$A:$P,G$6+4,FALSE)))</f>
        <v>5</v>
      </c>
      <c r="H12" s="365">
        <f>IF(H$6=0,0,VLOOKUP($A12,base!$A:$P,H$6+4,FALSE))</f>
        <v>20</v>
      </c>
      <c r="I12" s="365">
        <f>IF(I$6=0,0,VLOOKUP($A12,base!$A:$P,I$6+4,FALSE))</f>
        <v>30</v>
      </c>
      <c r="J12" s="365">
        <f>IF(J$6=0,0,VLOOKUP($A12,base!$A:$P,J$6+4,FALSE))</f>
        <v>25</v>
      </c>
      <c r="K12" s="365">
        <f>IF(K$6=0,0,VLOOKUP($A12,base!$A:$P,K$6+4,FALSE))</f>
        <v>20</v>
      </c>
      <c r="L12" s="365">
        <f>IF(L$6=0,0,VLOOKUP($A12,base!$A:$P,L$6+4,FALSE))</f>
        <v>0</v>
      </c>
      <c r="M12" s="365">
        <f>IF(M$6=0,0,VLOOKUP($A12,base!$A:$P,M$6+4,FALSE))</f>
        <v>0</v>
      </c>
      <c r="N12" s="365">
        <f>IF(N$6=0,0,VLOOKUP($A12,base!$A:$P,N$6+4,FALSE))</f>
        <v>0</v>
      </c>
      <c r="O12" s="365">
        <f>IF(O$6=0,0,VLOOKUP($A12,base!$A:$P,O$6+4,FALSE))</f>
        <v>0</v>
      </c>
      <c r="P12" s="365">
        <f>IF(P$6=0,0,VLOOKUP($A12,base!$A:$P,P$6+4,FALSE))</f>
        <v>0</v>
      </c>
      <c r="Q12" s="366">
        <f>IF(Q$6=0,0,VLOOKUP($A12,base!$A:$P,Q$6+4,FALSE))</f>
        <v>0</v>
      </c>
      <c r="R12" s="367"/>
      <c r="S12" s="368"/>
      <c r="T12" s="369">
        <f t="shared" si="3"/>
        <v>0</v>
      </c>
      <c r="W12" s="104">
        <f t="shared" si="4"/>
        <v>100</v>
      </c>
    </row>
    <row r="13" spans="1:24" x14ac:dyDescent="0.2">
      <c r="A13" s="106" t="str">
        <f t="shared" si="5"/>
        <v>6|5</v>
      </c>
      <c r="B13" s="370" t="s">
        <v>88</v>
      </c>
      <c r="C13" s="362" t="s">
        <v>150</v>
      </c>
      <c r="D13" s="363"/>
      <c r="E13" s="364">
        <v>5</v>
      </c>
      <c r="F13" s="365">
        <f>IF(E$6&lt;3,0,IF(F$6=0,0,VLOOKUP($A13,base!$A:$P,F$6+4,FALSE)))</f>
        <v>0</v>
      </c>
      <c r="G13" s="365">
        <f>IF(E$6&lt;3,0,IF(G$6=0,0,VLOOKUP($A13,base!$A:$P,G$6+4,FALSE)))</f>
        <v>15</v>
      </c>
      <c r="H13" s="365">
        <f>IF(H$6=0,0,VLOOKUP($A13,base!$A:$P,H$6+4,FALSE))</f>
        <v>30</v>
      </c>
      <c r="I13" s="365">
        <f>IF(I$6=0,0,VLOOKUP($A13,base!$A:$P,I$6+4,FALSE))</f>
        <v>30</v>
      </c>
      <c r="J13" s="365">
        <f>IF(J$6=0,0,VLOOKUP($A13,base!$A:$P,J$6+4,FALSE))</f>
        <v>25</v>
      </c>
      <c r="K13" s="365">
        <f>IF(K$6=0,0,VLOOKUP($A13,base!$A:$P,K$6+4,FALSE))</f>
        <v>0</v>
      </c>
      <c r="L13" s="365">
        <f>IF(L$6=0,0,VLOOKUP($A13,base!$A:$P,L$6+4,FALSE))</f>
        <v>0</v>
      </c>
      <c r="M13" s="365">
        <f>IF(M$6=0,0,VLOOKUP($A13,base!$A:$P,M$6+4,FALSE))</f>
        <v>0</v>
      </c>
      <c r="N13" s="365">
        <f>IF(N$6=0,0,VLOOKUP($A13,base!$A:$P,N$6+4,FALSE))</f>
        <v>0</v>
      </c>
      <c r="O13" s="365">
        <f>IF(O$6=0,0,VLOOKUP($A13,base!$A:$P,O$6+4,FALSE))</f>
        <v>0</v>
      </c>
      <c r="P13" s="365">
        <f>IF(P$6=0,0,VLOOKUP($A13,base!$A:$P,P$6+4,FALSE))</f>
        <v>0</v>
      </c>
      <c r="Q13" s="366">
        <f>IF(Q$6=0,0,VLOOKUP($A13,base!$A:$P,Q$6+4,FALSE))</f>
        <v>0</v>
      </c>
      <c r="R13" s="367"/>
      <c r="S13" s="368"/>
      <c r="T13" s="369">
        <f t="shared" si="3"/>
        <v>0</v>
      </c>
      <c r="W13" s="104">
        <f t="shared" si="4"/>
        <v>100</v>
      </c>
    </row>
    <row r="14" spans="1:24" x14ac:dyDescent="0.2">
      <c r="A14" s="106" t="str">
        <f t="shared" si="5"/>
        <v>6|6</v>
      </c>
      <c r="B14" s="370" t="s">
        <v>97</v>
      </c>
      <c r="C14" s="362" t="s">
        <v>187</v>
      </c>
      <c r="D14" s="363"/>
      <c r="E14" s="364">
        <v>3</v>
      </c>
      <c r="F14" s="365">
        <f>IF(E$6&lt;3,0,IF(F$6=0,0,VLOOKUP($A14,base!$A:$P,F$6+4,FALSE)))</f>
        <v>0</v>
      </c>
      <c r="G14" s="365">
        <f>IF(E$6&lt;3,0,IF(G$6=0,0,VLOOKUP($A14,base!$A:$P,G$6+4,FALSE)))</f>
        <v>5</v>
      </c>
      <c r="H14" s="365">
        <f>IF(H$6=0,0,VLOOKUP($A14,base!$A:$P,H$6+4,FALSE))</f>
        <v>10</v>
      </c>
      <c r="I14" s="365">
        <f>IF(I$6=0,0,VLOOKUP($A14,base!$A:$P,I$6+4,FALSE))</f>
        <v>30</v>
      </c>
      <c r="J14" s="365">
        <f>IF(J$6=0,0,VLOOKUP($A14,base!$A:$P,J$6+4,FALSE))</f>
        <v>30</v>
      </c>
      <c r="K14" s="365">
        <f>IF(K$6=0,0,VLOOKUP($A14,base!$A:$P,K$6+4,FALSE))</f>
        <v>25</v>
      </c>
      <c r="L14" s="365">
        <f>IF(L$6=0,0,VLOOKUP($A14,base!$A:$P,L$6+4,FALSE))</f>
        <v>0</v>
      </c>
      <c r="M14" s="365">
        <f>IF(M$6=0,0,VLOOKUP($A14,base!$A:$P,M$6+4,FALSE))</f>
        <v>0</v>
      </c>
      <c r="N14" s="365">
        <f>IF(N$6=0,0,VLOOKUP($A14,base!$A:$P,N$6+4,FALSE))</f>
        <v>0</v>
      </c>
      <c r="O14" s="365">
        <f>IF(O$6=0,0,VLOOKUP($A14,base!$A:$P,O$6+4,FALSE))</f>
        <v>0</v>
      </c>
      <c r="P14" s="365">
        <f>IF(P$6=0,0,VLOOKUP($A14,base!$A:$P,P$6+4,FALSE))</f>
        <v>0</v>
      </c>
      <c r="Q14" s="366">
        <f>IF(Q$6=0,0,VLOOKUP($A14,base!$A:$P,Q$6+4,FALSE))</f>
        <v>0</v>
      </c>
      <c r="R14" s="367"/>
      <c r="S14" s="368"/>
      <c r="T14" s="369">
        <f t="shared" si="3"/>
        <v>0</v>
      </c>
      <c r="W14" s="104">
        <f t="shared" si="4"/>
        <v>100</v>
      </c>
    </row>
    <row r="15" spans="1:24" x14ac:dyDescent="0.2">
      <c r="A15" s="106" t="str">
        <f t="shared" si="5"/>
        <v>6|7</v>
      </c>
      <c r="B15" s="370" t="s">
        <v>147</v>
      </c>
      <c r="C15" s="362" t="s">
        <v>154</v>
      </c>
      <c r="D15" s="363"/>
      <c r="E15" s="364">
        <v>5</v>
      </c>
      <c r="F15" s="365">
        <f>IF(E$6&lt;3,0,IF(F$6=0,0,VLOOKUP($A15,base!$A:$P,F$6+4,FALSE)))</f>
        <v>0</v>
      </c>
      <c r="G15" s="365">
        <f>IF(E$6&lt;3,0,IF(G$6=0,0,VLOOKUP($A15,base!$A:$P,G$6+4,FALSE)))</f>
        <v>0</v>
      </c>
      <c r="H15" s="365">
        <f>IF(H$6=0,0,VLOOKUP($A15,base!$A:$P,H$6+4,FALSE))</f>
        <v>20</v>
      </c>
      <c r="I15" s="365">
        <f>IF(I$6=0,0,VLOOKUP($A15,base!$A:$P,I$6+4,FALSE))</f>
        <v>20</v>
      </c>
      <c r="J15" s="365">
        <f>IF(J$6=0,0,VLOOKUP($A15,base!$A:$P,J$6+4,FALSE))</f>
        <v>30</v>
      </c>
      <c r="K15" s="365">
        <f>IF(K$6=0,0,VLOOKUP($A15,base!$A:$P,K$6+4,FALSE))</f>
        <v>30</v>
      </c>
      <c r="L15" s="365">
        <f>IF(L$6=0,0,VLOOKUP($A15,base!$A:$P,L$6+4,FALSE))</f>
        <v>0</v>
      </c>
      <c r="M15" s="365">
        <f>IF(M$6=0,0,VLOOKUP($A15,base!$A:$P,M$6+4,FALSE))</f>
        <v>0</v>
      </c>
      <c r="N15" s="365">
        <f>IF(N$6=0,0,VLOOKUP($A15,base!$A:$P,N$6+4,FALSE))</f>
        <v>0</v>
      </c>
      <c r="O15" s="365">
        <f>IF(O$6=0,0,VLOOKUP($A15,base!$A:$P,O$6+4,FALSE))</f>
        <v>0</v>
      </c>
      <c r="P15" s="365">
        <f>IF(P$6=0,0,VLOOKUP($A15,base!$A:$P,P$6+4,FALSE))</f>
        <v>0</v>
      </c>
      <c r="Q15" s="366">
        <f>IF(Q$6=0,0,VLOOKUP($A15,base!$A:$P,Q$6+4,FALSE))</f>
        <v>0</v>
      </c>
      <c r="R15" s="367"/>
      <c r="S15" s="368"/>
      <c r="T15" s="369">
        <f t="shared" si="3"/>
        <v>0</v>
      </c>
      <c r="W15" s="104">
        <f t="shared" si="4"/>
        <v>100</v>
      </c>
    </row>
    <row r="16" spans="1:24" x14ac:dyDescent="0.2">
      <c r="A16" s="106" t="str">
        <f t="shared" si="5"/>
        <v>6|8</v>
      </c>
      <c r="B16" s="370" t="s">
        <v>108</v>
      </c>
      <c r="C16" s="362" t="s">
        <v>155</v>
      </c>
      <c r="D16" s="363"/>
      <c r="E16" s="364">
        <v>6</v>
      </c>
      <c r="F16" s="365">
        <f>IF(E$6&lt;3,0,IF(F$6=0,0,VLOOKUP($A16,base!$A:$P,F$6+4,FALSE)))</f>
        <v>0</v>
      </c>
      <c r="G16" s="365">
        <f>IF(E$6&lt;3,0,IF(G$6=0,0,VLOOKUP($A16,base!$A:$P,G$6+4,FALSE)))</f>
        <v>0</v>
      </c>
      <c r="H16" s="365">
        <f>IF(H$6=0,0,VLOOKUP($A16,base!$A:$P,H$6+4,FALSE))</f>
        <v>20</v>
      </c>
      <c r="I16" s="365">
        <f>IF(I$6=0,0,VLOOKUP($A16,base!$A:$P,I$6+4,FALSE))</f>
        <v>30</v>
      </c>
      <c r="J16" s="365">
        <f>IF(J$6=0,0,VLOOKUP($A16,base!$A:$P,J$6+4,FALSE))</f>
        <v>30</v>
      </c>
      <c r="K16" s="365">
        <f>IF(K$6=0,0,VLOOKUP($A16,base!$A:$P,K$6+4,FALSE))</f>
        <v>20</v>
      </c>
      <c r="L16" s="365">
        <f>IF(L$6=0,0,VLOOKUP($A16,base!$A:$P,L$6+4,FALSE))</f>
        <v>0</v>
      </c>
      <c r="M16" s="365">
        <f>IF(M$6=0,0,VLOOKUP($A16,base!$A:$P,M$6+4,FALSE))</f>
        <v>0</v>
      </c>
      <c r="N16" s="365">
        <f>IF(N$6=0,0,VLOOKUP($A16,base!$A:$P,N$6+4,FALSE))</f>
        <v>0</v>
      </c>
      <c r="O16" s="365">
        <f>IF(O$6=0,0,VLOOKUP($A16,base!$A:$P,O$6+4,FALSE))</f>
        <v>0</v>
      </c>
      <c r="P16" s="365">
        <f>IF(P$6=0,0,VLOOKUP($A16,base!$A:$P,P$6+4,FALSE))</f>
        <v>0</v>
      </c>
      <c r="Q16" s="366">
        <f>IF(Q$6=0,0,VLOOKUP($A16,base!$A:$P,Q$6+4,FALSE))</f>
        <v>0</v>
      </c>
      <c r="R16" s="367"/>
      <c r="S16" s="368"/>
      <c r="T16" s="369">
        <f t="shared" si="3"/>
        <v>0</v>
      </c>
      <c r="W16" s="104">
        <f t="shared" si="4"/>
        <v>100</v>
      </c>
    </row>
    <row r="17" spans="1:23" x14ac:dyDescent="0.2">
      <c r="A17" s="106" t="str">
        <f t="shared" si="5"/>
        <v>6|9</v>
      </c>
      <c r="B17" s="370" t="s">
        <v>156</v>
      </c>
      <c r="C17" s="362" t="s">
        <v>157</v>
      </c>
      <c r="D17" s="363"/>
      <c r="E17" s="364">
        <v>6</v>
      </c>
      <c r="F17" s="365">
        <f>IF(E$6&lt;3,0,IF(F$6=0,0,VLOOKUP($A17,base!$A:$P,F$6+4,FALSE)))</f>
        <v>5</v>
      </c>
      <c r="G17" s="365">
        <f>IF(E$6&lt;3,0,IF(G$6=0,0,VLOOKUP($A17,base!$A:$P,G$6+4,FALSE)))</f>
        <v>15</v>
      </c>
      <c r="H17" s="365">
        <f>IF(H$6=0,0,VLOOKUP($A17,base!$A:$P,H$6+4,FALSE))</f>
        <v>25</v>
      </c>
      <c r="I17" s="365">
        <f>IF(I$6=0,0,VLOOKUP($A17,base!$A:$P,I$6+4,FALSE))</f>
        <v>25</v>
      </c>
      <c r="J17" s="365">
        <f>IF(J$6=0,0,VLOOKUP($A17,base!$A:$P,J$6+4,FALSE))</f>
        <v>20</v>
      </c>
      <c r="K17" s="365">
        <f>IF(K$6=0,0,VLOOKUP($A17,base!$A:$P,K$6+4,FALSE))</f>
        <v>10</v>
      </c>
      <c r="L17" s="365">
        <f>IF(L$6=0,0,VLOOKUP($A17,base!$A:$P,L$6+4,FALSE))</f>
        <v>0</v>
      </c>
      <c r="M17" s="365">
        <f>IF(M$6=0,0,VLOOKUP($A17,base!$A:$P,M$6+4,FALSE))</f>
        <v>0</v>
      </c>
      <c r="N17" s="365">
        <f>IF(N$6=0,0,VLOOKUP($A17,base!$A:$P,N$6+4,FALSE))</f>
        <v>0</v>
      </c>
      <c r="O17" s="365">
        <f>IF(O$6=0,0,VLOOKUP($A17,base!$A:$P,O$6+4,FALSE))</f>
        <v>0</v>
      </c>
      <c r="P17" s="365">
        <f>IF(P$6=0,0,VLOOKUP($A17,base!$A:$P,P$6+4,FALSE))</f>
        <v>0</v>
      </c>
      <c r="Q17" s="366">
        <f>IF(Q$6=0,0,VLOOKUP($A17,base!$A:$P,Q$6+4,FALSE))</f>
        <v>0</v>
      </c>
      <c r="R17" s="367"/>
      <c r="S17" s="368"/>
      <c r="T17" s="369">
        <f t="shared" si="3"/>
        <v>0</v>
      </c>
      <c r="W17" s="104">
        <f t="shared" si="4"/>
        <v>100</v>
      </c>
    </row>
    <row r="18" spans="1:23" x14ac:dyDescent="0.2">
      <c r="A18" s="106" t="str">
        <f t="shared" si="5"/>
        <v>6|10</v>
      </c>
      <c r="B18" s="370" t="s">
        <v>158</v>
      </c>
      <c r="C18" s="362" t="s">
        <v>151</v>
      </c>
      <c r="D18" s="363"/>
      <c r="E18" s="364"/>
      <c r="F18" s="365">
        <f>IF(E$6&lt;3,0,IF(F$6=0,0,VLOOKUP($A18,base!$A:$P,F$6+4,FALSE)))</f>
        <v>20</v>
      </c>
      <c r="G18" s="365">
        <f>IF(E$6&lt;3,0,IF(G$6=0,0,VLOOKUP($A18,base!$A:$P,G$6+4,FALSE)))</f>
        <v>30</v>
      </c>
      <c r="H18" s="365">
        <f>IF(H$6=0,0,VLOOKUP($A18,base!$A:$P,H$6+4,FALSE))</f>
        <v>30</v>
      </c>
      <c r="I18" s="365">
        <f>IF(I$6=0,0,VLOOKUP($A18,base!$A:$P,I$6+4,FALSE))</f>
        <v>15</v>
      </c>
      <c r="J18" s="365">
        <f>IF(J$6=0,0,VLOOKUP($A18,base!$A:$P,J$6+4,FALSE))</f>
        <v>5</v>
      </c>
      <c r="K18" s="365">
        <f>IF(K$6=0,0,VLOOKUP($A18,base!$A:$P,K$6+4,FALSE))</f>
        <v>0</v>
      </c>
      <c r="L18" s="365">
        <f>IF(L$6=0,0,VLOOKUP($A18,base!$A:$P,L$6+4,FALSE))</f>
        <v>0</v>
      </c>
      <c r="M18" s="365">
        <f>IF(M$6=0,0,VLOOKUP($A18,base!$A:$P,M$6+4,FALSE))</f>
        <v>0</v>
      </c>
      <c r="N18" s="365">
        <f>IF(N$6=0,0,VLOOKUP($A18,base!$A:$P,N$6+4,FALSE))</f>
        <v>0</v>
      </c>
      <c r="O18" s="365">
        <f>IF(O$6=0,0,VLOOKUP($A18,base!$A:$P,O$6+4,FALSE))</f>
        <v>0</v>
      </c>
      <c r="P18" s="365">
        <f>IF(P$6=0,0,VLOOKUP($A18,base!$A:$P,P$6+4,FALSE))</f>
        <v>0</v>
      </c>
      <c r="Q18" s="366">
        <f>IF(Q$6=0,0,VLOOKUP($A18,base!$A:$P,Q$6+4,FALSE))</f>
        <v>0</v>
      </c>
      <c r="R18" s="367"/>
      <c r="S18" s="368"/>
      <c r="T18" s="369">
        <f t="shared" si="3"/>
        <v>0</v>
      </c>
      <c r="W18" s="104">
        <f t="shared" si="4"/>
        <v>100</v>
      </c>
    </row>
    <row r="19" spans="1:23" x14ac:dyDescent="0.2">
      <c r="A19" s="106" t="str">
        <f t="shared" si="5"/>
        <v>6|11</v>
      </c>
      <c r="B19" s="370" t="s">
        <v>164</v>
      </c>
      <c r="C19" s="362" t="s">
        <v>176</v>
      </c>
      <c r="D19" s="363"/>
      <c r="E19" s="364"/>
      <c r="F19" s="365">
        <f>IF(E$6&lt;3,0,IF(F$6=0,0,VLOOKUP($A19,base!$A:$P,F$6+4,FALSE)))</f>
        <v>3</v>
      </c>
      <c r="G19" s="365">
        <f>IF(E$6&lt;3,0,IF(G$6=0,0,VLOOKUP($A19,base!$A:$P,G$6+4,FALSE)))</f>
        <v>12</v>
      </c>
      <c r="H19" s="365">
        <f>IF(H$6=0,0,VLOOKUP($A19,base!$A:$P,H$6+4,FALSE))</f>
        <v>25</v>
      </c>
      <c r="I19" s="365">
        <f>IF(I$6=0,0,VLOOKUP($A19,base!$A:$P,I$6+4,FALSE))</f>
        <v>28</v>
      </c>
      <c r="J19" s="365">
        <f>IF(J$6=0,0,VLOOKUP($A19,base!$A:$P,J$6+4,FALSE))</f>
        <v>21</v>
      </c>
      <c r="K19" s="365">
        <f>IF(K$6=0,0,VLOOKUP($A19,base!$A:$P,K$6+4,FALSE))</f>
        <v>11</v>
      </c>
      <c r="L19" s="365">
        <f>IF(L$6=0,0,VLOOKUP($A19,base!$A:$P,L$6+4,FALSE))</f>
        <v>0</v>
      </c>
      <c r="M19" s="365">
        <f>IF(M$6=0,0,VLOOKUP($A19,base!$A:$P,M$6+4,FALSE))</f>
        <v>0</v>
      </c>
      <c r="N19" s="365">
        <f>IF(N$6=0,0,VLOOKUP($A19,base!$A:$P,N$6+4,FALSE))</f>
        <v>0</v>
      </c>
      <c r="O19" s="365">
        <f>IF(O$6=0,0,VLOOKUP($A19,base!$A:$P,O$6+4,FALSE))</f>
        <v>0</v>
      </c>
      <c r="P19" s="365">
        <f>IF(P$6=0,0,VLOOKUP($A19,base!$A:$P,P$6+4,FALSE))</f>
        <v>0</v>
      </c>
      <c r="Q19" s="366">
        <f>IF(Q$6=0,0,VLOOKUP($A19,base!$A:$P,Q$6+4,FALSE))</f>
        <v>0</v>
      </c>
      <c r="R19" s="367"/>
      <c r="S19" s="368"/>
      <c r="T19" s="369">
        <f t="shared" si="3"/>
        <v>0</v>
      </c>
      <c r="W19" s="104">
        <f t="shared" si="4"/>
        <v>100</v>
      </c>
    </row>
    <row r="20" spans="1:23" ht="13.5" thickBot="1" x14ac:dyDescent="0.25">
      <c r="A20" s="104"/>
      <c r="B20" s="371"/>
      <c r="C20" s="372"/>
      <c r="D20" s="372"/>
      <c r="E20" s="372"/>
      <c r="F20" s="373"/>
      <c r="G20" s="373"/>
      <c r="H20" s="373"/>
      <c r="I20" s="373"/>
      <c r="J20" s="373"/>
      <c r="K20" s="373"/>
      <c r="L20" s="373"/>
      <c r="M20" s="373"/>
      <c r="N20" s="373"/>
      <c r="O20" s="373"/>
      <c r="P20" s="373"/>
      <c r="Q20" s="373"/>
      <c r="R20" s="373"/>
      <c r="S20" s="374"/>
      <c r="T20" s="375"/>
    </row>
    <row r="21" spans="1:23" ht="14.25" thickTop="1" thickBot="1" x14ac:dyDescent="0.25">
      <c r="A21" s="104"/>
      <c r="B21" s="376"/>
      <c r="C21" s="377" t="s">
        <v>257</v>
      </c>
      <c r="D21" s="377" t="s">
        <v>257</v>
      </c>
      <c r="E21" s="378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379"/>
      <c r="S21" s="380">
        <f>SUM(S9:S20)</f>
        <v>0</v>
      </c>
      <c r="T21" s="381">
        <f>SUM(T9:T19)</f>
        <v>0</v>
      </c>
    </row>
    <row r="22" spans="1:23" ht="18.75" thickTop="1" x14ac:dyDescent="0.25">
      <c r="A22" s="104"/>
      <c r="B22" s="382" t="s">
        <v>297</v>
      </c>
      <c r="C22" s="383"/>
      <c r="D22" s="383"/>
      <c r="E22" s="383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85"/>
    </row>
    <row r="23" spans="1:23" ht="13.5" thickBot="1" x14ac:dyDescent="0.25">
      <c r="A23" s="104"/>
      <c r="B23" s="348" t="s">
        <v>253</v>
      </c>
      <c r="C23" s="354"/>
      <c r="D23" s="354"/>
      <c r="E23" s="354"/>
      <c r="F23" s="386" t="s">
        <v>258</v>
      </c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7"/>
      <c r="R23" s="344" t="s">
        <v>259</v>
      </c>
      <c r="S23" s="388" t="s">
        <v>161</v>
      </c>
      <c r="T23" s="389" t="s">
        <v>251</v>
      </c>
    </row>
    <row r="24" spans="1:23" ht="13.5" thickTop="1" x14ac:dyDescent="0.2">
      <c r="A24" s="104"/>
      <c r="B24" s="390"/>
      <c r="C24" s="391"/>
      <c r="D24" s="392"/>
      <c r="E24" s="392"/>
      <c r="F24" s="393">
        <f t="shared" ref="F24:Q24" si="6">F6</f>
        <v>1</v>
      </c>
      <c r="G24" s="393">
        <f t="shared" si="6"/>
        <v>2</v>
      </c>
      <c r="H24" s="393">
        <f t="shared" si="6"/>
        <v>3</v>
      </c>
      <c r="I24" s="393">
        <f t="shared" si="6"/>
        <v>4</v>
      </c>
      <c r="J24" s="393">
        <f t="shared" si="6"/>
        <v>5</v>
      </c>
      <c r="K24" s="393">
        <f t="shared" si="6"/>
        <v>6</v>
      </c>
      <c r="L24" s="393">
        <f t="shared" si="6"/>
        <v>0</v>
      </c>
      <c r="M24" s="393">
        <f t="shared" si="6"/>
        <v>0</v>
      </c>
      <c r="N24" s="393">
        <f t="shared" si="6"/>
        <v>0</v>
      </c>
      <c r="O24" s="393">
        <f t="shared" si="6"/>
        <v>0</v>
      </c>
      <c r="P24" s="393">
        <f t="shared" si="6"/>
        <v>0</v>
      </c>
      <c r="Q24" s="394">
        <f t="shared" si="6"/>
        <v>0</v>
      </c>
      <c r="R24" s="395" t="s">
        <v>260</v>
      </c>
      <c r="S24" s="396" t="s">
        <v>253</v>
      </c>
      <c r="T24" s="397" t="s">
        <v>253</v>
      </c>
    </row>
    <row r="25" spans="1:23" x14ac:dyDescent="0.2">
      <c r="A25" s="104"/>
      <c r="B25" s="398" t="s">
        <v>261</v>
      </c>
      <c r="C25" s="399" t="s">
        <v>152</v>
      </c>
      <c r="D25" s="400" t="s">
        <v>298</v>
      </c>
      <c r="E25" s="401" t="s">
        <v>262</v>
      </c>
      <c r="F25" s="402">
        <f t="shared" ref="F25:Q25" si="7">((F9/100)*$S$9)*$T$2</f>
        <v>0</v>
      </c>
      <c r="G25" s="402">
        <f t="shared" si="7"/>
        <v>0</v>
      </c>
      <c r="H25" s="402">
        <f t="shared" si="7"/>
        <v>0</v>
      </c>
      <c r="I25" s="402">
        <f t="shared" si="7"/>
        <v>0</v>
      </c>
      <c r="J25" s="402">
        <f t="shared" si="7"/>
        <v>0</v>
      </c>
      <c r="K25" s="402">
        <f t="shared" si="7"/>
        <v>0</v>
      </c>
      <c r="L25" s="402">
        <f t="shared" si="7"/>
        <v>0</v>
      </c>
      <c r="M25" s="402">
        <f t="shared" si="7"/>
        <v>0</v>
      </c>
      <c r="N25" s="402">
        <f t="shared" si="7"/>
        <v>0</v>
      </c>
      <c r="O25" s="402">
        <f t="shared" si="7"/>
        <v>0</v>
      </c>
      <c r="P25" s="402">
        <f t="shared" si="7"/>
        <v>0</v>
      </c>
      <c r="Q25" s="403">
        <f t="shared" si="7"/>
        <v>0</v>
      </c>
      <c r="R25" s="404">
        <f>COUNTIF(F25:Q25,"&gt;0")</f>
        <v>0</v>
      </c>
      <c r="S25" s="405">
        <f t="shared" ref="S25:S46" si="8">SUM(F25:Q25)</f>
        <v>0</v>
      </c>
      <c r="T25" s="406">
        <f t="shared" ref="T25:T46" si="9">IF($S$51=0,0,(S25/$S$51))</f>
        <v>0</v>
      </c>
    </row>
    <row r="26" spans="1:23" x14ac:dyDescent="0.2">
      <c r="A26" s="104"/>
      <c r="B26" s="398" t="s">
        <v>263</v>
      </c>
      <c r="C26" s="407"/>
      <c r="D26" s="400" t="s">
        <v>264</v>
      </c>
      <c r="E26" s="401" t="s">
        <v>262</v>
      </c>
      <c r="F26" s="402">
        <f>((F9/100)*$S$9)*T3</f>
        <v>0</v>
      </c>
      <c r="G26" s="402">
        <f t="shared" ref="G26:Q26" si="10">((G9/100)*$S$9)*$T$3</f>
        <v>0</v>
      </c>
      <c r="H26" s="402">
        <f t="shared" si="10"/>
        <v>0</v>
      </c>
      <c r="I26" s="402">
        <f t="shared" si="10"/>
        <v>0</v>
      </c>
      <c r="J26" s="402">
        <f t="shared" si="10"/>
        <v>0</v>
      </c>
      <c r="K26" s="402">
        <f t="shared" si="10"/>
        <v>0</v>
      </c>
      <c r="L26" s="402">
        <f t="shared" si="10"/>
        <v>0</v>
      </c>
      <c r="M26" s="402">
        <f t="shared" si="10"/>
        <v>0</v>
      </c>
      <c r="N26" s="402">
        <f t="shared" si="10"/>
        <v>0</v>
      </c>
      <c r="O26" s="402">
        <f t="shared" si="10"/>
        <v>0</v>
      </c>
      <c r="P26" s="402">
        <f t="shared" si="10"/>
        <v>0</v>
      </c>
      <c r="Q26" s="403">
        <f t="shared" si="10"/>
        <v>0</v>
      </c>
      <c r="R26" s="408">
        <f t="shared" ref="R26:R46" si="11">COUNTIF(F26:Q26,"&gt;0")</f>
        <v>0</v>
      </c>
      <c r="S26" s="405">
        <f t="shared" si="8"/>
        <v>0</v>
      </c>
      <c r="T26" s="406">
        <f t="shared" si="9"/>
        <v>0</v>
      </c>
      <c r="U26" s="409"/>
    </row>
    <row r="27" spans="1:23" x14ac:dyDescent="0.2">
      <c r="A27" s="104"/>
      <c r="B27" s="398" t="s">
        <v>265</v>
      </c>
      <c r="C27" s="410" t="s">
        <v>148</v>
      </c>
      <c r="D27" s="401" t="s">
        <v>298</v>
      </c>
      <c r="E27" s="401" t="s">
        <v>262</v>
      </c>
      <c r="F27" s="402">
        <f t="shared" ref="F27:Q27" si="12">((F10/100)*$S$10)*$T$2</f>
        <v>0</v>
      </c>
      <c r="G27" s="402">
        <f t="shared" si="12"/>
        <v>0</v>
      </c>
      <c r="H27" s="402">
        <f t="shared" si="12"/>
        <v>0</v>
      </c>
      <c r="I27" s="402">
        <f t="shared" si="12"/>
        <v>0</v>
      </c>
      <c r="J27" s="402">
        <f t="shared" si="12"/>
        <v>0</v>
      </c>
      <c r="K27" s="402">
        <f t="shared" si="12"/>
        <v>0</v>
      </c>
      <c r="L27" s="402">
        <f t="shared" si="12"/>
        <v>0</v>
      </c>
      <c r="M27" s="402">
        <f t="shared" si="12"/>
        <v>0</v>
      </c>
      <c r="N27" s="402">
        <f t="shared" si="12"/>
        <v>0</v>
      </c>
      <c r="O27" s="402">
        <f t="shared" si="12"/>
        <v>0</v>
      </c>
      <c r="P27" s="402">
        <f t="shared" si="12"/>
        <v>0</v>
      </c>
      <c r="Q27" s="403">
        <f t="shared" si="12"/>
        <v>0</v>
      </c>
      <c r="R27" s="408">
        <f t="shared" si="11"/>
        <v>0</v>
      </c>
      <c r="S27" s="405">
        <f t="shared" si="8"/>
        <v>0</v>
      </c>
      <c r="T27" s="406">
        <f t="shared" si="9"/>
        <v>0</v>
      </c>
    </row>
    <row r="28" spans="1:23" x14ac:dyDescent="0.2">
      <c r="A28" s="104"/>
      <c r="B28" s="398" t="s">
        <v>266</v>
      </c>
      <c r="C28" s="411"/>
      <c r="D28" s="401" t="s">
        <v>264</v>
      </c>
      <c r="E28" s="401" t="s">
        <v>262</v>
      </c>
      <c r="F28" s="402">
        <f t="shared" ref="F28:Q28" si="13">((F10/100)*$S$10)*$T$3</f>
        <v>0</v>
      </c>
      <c r="G28" s="402">
        <f t="shared" si="13"/>
        <v>0</v>
      </c>
      <c r="H28" s="402">
        <f t="shared" si="13"/>
        <v>0</v>
      </c>
      <c r="I28" s="402">
        <f t="shared" si="13"/>
        <v>0</v>
      </c>
      <c r="J28" s="402">
        <f t="shared" si="13"/>
        <v>0</v>
      </c>
      <c r="K28" s="402">
        <f t="shared" si="13"/>
        <v>0</v>
      </c>
      <c r="L28" s="402">
        <f t="shared" si="13"/>
        <v>0</v>
      </c>
      <c r="M28" s="402">
        <f t="shared" si="13"/>
        <v>0</v>
      </c>
      <c r="N28" s="402">
        <f t="shared" si="13"/>
        <v>0</v>
      </c>
      <c r="O28" s="402">
        <f t="shared" si="13"/>
        <v>0</v>
      </c>
      <c r="P28" s="402">
        <f t="shared" si="13"/>
        <v>0</v>
      </c>
      <c r="Q28" s="403">
        <f t="shared" si="13"/>
        <v>0</v>
      </c>
      <c r="R28" s="408">
        <f t="shared" si="11"/>
        <v>0</v>
      </c>
      <c r="S28" s="405">
        <f t="shared" si="8"/>
        <v>0</v>
      </c>
      <c r="T28" s="406">
        <f t="shared" si="9"/>
        <v>0</v>
      </c>
      <c r="U28" s="409"/>
    </row>
    <row r="29" spans="1:23" x14ac:dyDescent="0.2">
      <c r="A29" s="104"/>
      <c r="B29" s="398" t="s">
        <v>267</v>
      </c>
      <c r="C29" s="410" t="s">
        <v>153</v>
      </c>
      <c r="D29" s="401" t="s">
        <v>298</v>
      </c>
      <c r="E29" s="401" t="s">
        <v>262</v>
      </c>
      <c r="F29" s="402">
        <f t="shared" ref="F29:Q29" si="14">((F11/100)*$S$11)*$T$2</f>
        <v>0</v>
      </c>
      <c r="G29" s="402">
        <f t="shared" si="14"/>
        <v>0</v>
      </c>
      <c r="H29" s="402">
        <f t="shared" si="14"/>
        <v>0</v>
      </c>
      <c r="I29" s="402">
        <f t="shared" si="14"/>
        <v>0</v>
      </c>
      <c r="J29" s="402">
        <f t="shared" si="14"/>
        <v>0</v>
      </c>
      <c r="K29" s="402">
        <f t="shared" si="14"/>
        <v>0</v>
      </c>
      <c r="L29" s="402">
        <f t="shared" si="14"/>
        <v>0</v>
      </c>
      <c r="M29" s="402">
        <f t="shared" si="14"/>
        <v>0</v>
      </c>
      <c r="N29" s="402">
        <f t="shared" si="14"/>
        <v>0</v>
      </c>
      <c r="O29" s="402">
        <f t="shared" si="14"/>
        <v>0</v>
      </c>
      <c r="P29" s="402">
        <f t="shared" si="14"/>
        <v>0</v>
      </c>
      <c r="Q29" s="403">
        <f t="shared" si="14"/>
        <v>0</v>
      </c>
      <c r="R29" s="408">
        <f t="shared" si="11"/>
        <v>0</v>
      </c>
      <c r="S29" s="405">
        <f t="shared" si="8"/>
        <v>0</v>
      </c>
      <c r="T29" s="406">
        <f t="shared" si="9"/>
        <v>0</v>
      </c>
    </row>
    <row r="30" spans="1:23" x14ac:dyDescent="0.2">
      <c r="A30" s="104"/>
      <c r="B30" s="398" t="s">
        <v>268</v>
      </c>
      <c r="C30" s="411"/>
      <c r="D30" s="401" t="s">
        <v>264</v>
      </c>
      <c r="E30" s="401" t="s">
        <v>262</v>
      </c>
      <c r="F30" s="402">
        <f t="shared" ref="F30:Q30" si="15">((F11/100)*$S$11)*$T$3</f>
        <v>0</v>
      </c>
      <c r="G30" s="402">
        <f t="shared" si="15"/>
        <v>0</v>
      </c>
      <c r="H30" s="402">
        <f t="shared" si="15"/>
        <v>0</v>
      </c>
      <c r="I30" s="402">
        <f t="shared" si="15"/>
        <v>0</v>
      </c>
      <c r="J30" s="402">
        <f t="shared" si="15"/>
        <v>0</v>
      </c>
      <c r="K30" s="402">
        <f t="shared" si="15"/>
        <v>0</v>
      </c>
      <c r="L30" s="402">
        <f t="shared" si="15"/>
        <v>0</v>
      </c>
      <c r="M30" s="402">
        <f t="shared" si="15"/>
        <v>0</v>
      </c>
      <c r="N30" s="402">
        <f t="shared" si="15"/>
        <v>0</v>
      </c>
      <c r="O30" s="402">
        <f t="shared" si="15"/>
        <v>0</v>
      </c>
      <c r="P30" s="402">
        <f t="shared" si="15"/>
        <v>0</v>
      </c>
      <c r="Q30" s="403">
        <f t="shared" si="15"/>
        <v>0</v>
      </c>
      <c r="R30" s="408">
        <f t="shared" si="11"/>
        <v>0</v>
      </c>
      <c r="S30" s="405">
        <f t="shared" si="8"/>
        <v>0</v>
      </c>
      <c r="T30" s="406">
        <f t="shared" si="9"/>
        <v>0</v>
      </c>
      <c r="U30" s="409"/>
    </row>
    <row r="31" spans="1:23" x14ac:dyDescent="0.2">
      <c r="A31" s="104"/>
      <c r="B31" s="398" t="s">
        <v>269</v>
      </c>
      <c r="C31" s="410" t="s">
        <v>149</v>
      </c>
      <c r="D31" s="401" t="s">
        <v>298</v>
      </c>
      <c r="E31" s="401" t="s">
        <v>262</v>
      </c>
      <c r="F31" s="402">
        <f>((F12/100)*$S$12)*T2</f>
        <v>0</v>
      </c>
      <c r="G31" s="402">
        <f t="shared" ref="G31:Q31" si="16">((G12/100)*$S$12)*$T$2</f>
        <v>0</v>
      </c>
      <c r="H31" s="402">
        <f t="shared" si="16"/>
        <v>0</v>
      </c>
      <c r="I31" s="402">
        <f t="shared" si="16"/>
        <v>0</v>
      </c>
      <c r="J31" s="402">
        <f t="shared" si="16"/>
        <v>0</v>
      </c>
      <c r="K31" s="402">
        <f t="shared" si="16"/>
        <v>0</v>
      </c>
      <c r="L31" s="402">
        <f t="shared" si="16"/>
        <v>0</v>
      </c>
      <c r="M31" s="402">
        <f t="shared" si="16"/>
        <v>0</v>
      </c>
      <c r="N31" s="402">
        <f t="shared" si="16"/>
        <v>0</v>
      </c>
      <c r="O31" s="402">
        <f t="shared" si="16"/>
        <v>0</v>
      </c>
      <c r="P31" s="402">
        <f t="shared" si="16"/>
        <v>0</v>
      </c>
      <c r="Q31" s="403">
        <f t="shared" si="16"/>
        <v>0</v>
      </c>
      <c r="R31" s="408">
        <f t="shared" si="11"/>
        <v>0</v>
      </c>
      <c r="S31" s="405">
        <f t="shared" si="8"/>
        <v>0</v>
      </c>
      <c r="T31" s="406">
        <f t="shared" si="9"/>
        <v>0</v>
      </c>
    </row>
    <row r="32" spans="1:23" x14ac:dyDescent="0.2">
      <c r="A32" s="104"/>
      <c r="B32" s="398" t="s">
        <v>270</v>
      </c>
      <c r="C32" s="411"/>
      <c r="D32" s="401" t="s">
        <v>264</v>
      </c>
      <c r="E32" s="401" t="s">
        <v>262</v>
      </c>
      <c r="F32" s="402">
        <f t="shared" ref="F32:Q32" si="17">((F12/100)*$S$12)*$T$3</f>
        <v>0</v>
      </c>
      <c r="G32" s="402">
        <f t="shared" si="17"/>
        <v>0</v>
      </c>
      <c r="H32" s="402">
        <f t="shared" si="17"/>
        <v>0</v>
      </c>
      <c r="I32" s="402">
        <f t="shared" si="17"/>
        <v>0</v>
      </c>
      <c r="J32" s="402">
        <f t="shared" si="17"/>
        <v>0</v>
      </c>
      <c r="K32" s="402">
        <f t="shared" si="17"/>
        <v>0</v>
      </c>
      <c r="L32" s="402">
        <f t="shared" si="17"/>
        <v>0</v>
      </c>
      <c r="M32" s="402">
        <f t="shared" si="17"/>
        <v>0</v>
      </c>
      <c r="N32" s="402">
        <f t="shared" si="17"/>
        <v>0</v>
      </c>
      <c r="O32" s="402">
        <f t="shared" si="17"/>
        <v>0</v>
      </c>
      <c r="P32" s="402">
        <f t="shared" si="17"/>
        <v>0</v>
      </c>
      <c r="Q32" s="403">
        <f t="shared" si="17"/>
        <v>0</v>
      </c>
      <c r="R32" s="408">
        <f t="shared" si="11"/>
        <v>0</v>
      </c>
      <c r="S32" s="405">
        <f t="shared" si="8"/>
        <v>0</v>
      </c>
      <c r="T32" s="406">
        <f t="shared" si="9"/>
        <v>0</v>
      </c>
      <c r="U32" s="409"/>
    </row>
    <row r="33" spans="1:21" x14ac:dyDescent="0.2">
      <c r="A33" s="104"/>
      <c r="B33" s="398" t="s">
        <v>271</v>
      </c>
      <c r="C33" s="410" t="s">
        <v>150</v>
      </c>
      <c r="D33" s="401" t="s">
        <v>298</v>
      </c>
      <c r="E33" s="401" t="s">
        <v>262</v>
      </c>
      <c r="F33" s="402">
        <f t="shared" ref="F33:Q33" si="18">((F13/100)*$S$13)*$T$2</f>
        <v>0</v>
      </c>
      <c r="G33" s="402">
        <f t="shared" si="18"/>
        <v>0</v>
      </c>
      <c r="H33" s="402">
        <f t="shared" si="18"/>
        <v>0</v>
      </c>
      <c r="I33" s="402">
        <f t="shared" si="18"/>
        <v>0</v>
      </c>
      <c r="J33" s="402">
        <f t="shared" si="18"/>
        <v>0</v>
      </c>
      <c r="K33" s="402">
        <f t="shared" si="18"/>
        <v>0</v>
      </c>
      <c r="L33" s="402">
        <f t="shared" si="18"/>
        <v>0</v>
      </c>
      <c r="M33" s="402">
        <f t="shared" si="18"/>
        <v>0</v>
      </c>
      <c r="N33" s="402">
        <f t="shared" si="18"/>
        <v>0</v>
      </c>
      <c r="O33" s="402">
        <f t="shared" si="18"/>
        <v>0</v>
      </c>
      <c r="P33" s="402">
        <f t="shared" si="18"/>
        <v>0</v>
      </c>
      <c r="Q33" s="403">
        <f t="shared" si="18"/>
        <v>0</v>
      </c>
      <c r="R33" s="408">
        <f t="shared" si="11"/>
        <v>0</v>
      </c>
      <c r="S33" s="405">
        <f t="shared" si="8"/>
        <v>0</v>
      </c>
      <c r="T33" s="406">
        <f t="shared" si="9"/>
        <v>0</v>
      </c>
    </row>
    <row r="34" spans="1:21" x14ac:dyDescent="0.2">
      <c r="A34" s="104"/>
      <c r="B34" s="398" t="s">
        <v>272</v>
      </c>
      <c r="C34" s="411"/>
      <c r="D34" s="401" t="s">
        <v>264</v>
      </c>
      <c r="E34" s="401" t="s">
        <v>262</v>
      </c>
      <c r="F34" s="402">
        <f t="shared" ref="F34:Q34" si="19">((F13/100)*$S$13)*$T$3</f>
        <v>0</v>
      </c>
      <c r="G34" s="402">
        <f t="shared" si="19"/>
        <v>0</v>
      </c>
      <c r="H34" s="402">
        <f t="shared" si="19"/>
        <v>0</v>
      </c>
      <c r="I34" s="402">
        <f t="shared" si="19"/>
        <v>0</v>
      </c>
      <c r="J34" s="402">
        <f t="shared" si="19"/>
        <v>0</v>
      </c>
      <c r="K34" s="402">
        <f t="shared" si="19"/>
        <v>0</v>
      </c>
      <c r="L34" s="402">
        <f t="shared" si="19"/>
        <v>0</v>
      </c>
      <c r="M34" s="402">
        <f t="shared" si="19"/>
        <v>0</v>
      </c>
      <c r="N34" s="402">
        <f t="shared" si="19"/>
        <v>0</v>
      </c>
      <c r="O34" s="402">
        <f t="shared" si="19"/>
        <v>0</v>
      </c>
      <c r="P34" s="402">
        <f t="shared" si="19"/>
        <v>0</v>
      </c>
      <c r="Q34" s="403">
        <f t="shared" si="19"/>
        <v>0</v>
      </c>
      <c r="R34" s="408">
        <f t="shared" si="11"/>
        <v>0</v>
      </c>
      <c r="S34" s="405">
        <f t="shared" si="8"/>
        <v>0</v>
      </c>
      <c r="T34" s="406">
        <f t="shared" si="9"/>
        <v>0</v>
      </c>
      <c r="U34" s="409"/>
    </row>
    <row r="35" spans="1:21" x14ac:dyDescent="0.2">
      <c r="A35" s="104"/>
      <c r="B35" s="398" t="s">
        <v>273</v>
      </c>
      <c r="C35" s="410" t="s">
        <v>187</v>
      </c>
      <c r="D35" s="401" t="s">
        <v>298</v>
      </c>
      <c r="E35" s="401" t="s">
        <v>262</v>
      </c>
      <c r="F35" s="402">
        <f t="shared" ref="F35:Q35" si="20">((F14/100)*$S$14)*$T$2</f>
        <v>0</v>
      </c>
      <c r="G35" s="402">
        <f t="shared" si="20"/>
        <v>0</v>
      </c>
      <c r="H35" s="402">
        <f t="shared" si="20"/>
        <v>0</v>
      </c>
      <c r="I35" s="402">
        <f t="shared" si="20"/>
        <v>0</v>
      </c>
      <c r="J35" s="402">
        <f t="shared" si="20"/>
        <v>0</v>
      </c>
      <c r="K35" s="402">
        <f t="shared" si="20"/>
        <v>0</v>
      </c>
      <c r="L35" s="402">
        <f t="shared" si="20"/>
        <v>0</v>
      </c>
      <c r="M35" s="402">
        <f t="shared" si="20"/>
        <v>0</v>
      </c>
      <c r="N35" s="402">
        <f t="shared" si="20"/>
        <v>0</v>
      </c>
      <c r="O35" s="402">
        <f t="shared" si="20"/>
        <v>0</v>
      </c>
      <c r="P35" s="402">
        <f t="shared" si="20"/>
        <v>0</v>
      </c>
      <c r="Q35" s="403">
        <f t="shared" si="20"/>
        <v>0</v>
      </c>
      <c r="R35" s="408">
        <f t="shared" si="11"/>
        <v>0</v>
      </c>
      <c r="S35" s="405">
        <f t="shared" si="8"/>
        <v>0</v>
      </c>
      <c r="T35" s="406">
        <f t="shared" si="9"/>
        <v>0</v>
      </c>
    </row>
    <row r="36" spans="1:21" x14ac:dyDescent="0.2">
      <c r="A36" s="104"/>
      <c r="B36" s="398" t="s">
        <v>274</v>
      </c>
      <c r="C36" s="411"/>
      <c r="D36" s="401" t="s">
        <v>264</v>
      </c>
      <c r="E36" s="401" t="s">
        <v>262</v>
      </c>
      <c r="F36" s="402">
        <f t="shared" ref="F36:Q36" si="21">((F14/100)*$S$14)*$T$3</f>
        <v>0</v>
      </c>
      <c r="G36" s="402">
        <f t="shared" si="21"/>
        <v>0</v>
      </c>
      <c r="H36" s="402">
        <f t="shared" si="21"/>
        <v>0</v>
      </c>
      <c r="I36" s="402">
        <f t="shared" si="21"/>
        <v>0</v>
      </c>
      <c r="J36" s="402">
        <f t="shared" si="21"/>
        <v>0</v>
      </c>
      <c r="K36" s="402">
        <f t="shared" si="21"/>
        <v>0</v>
      </c>
      <c r="L36" s="402">
        <f t="shared" si="21"/>
        <v>0</v>
      </c>
      <c r="M36" s="402">
        <f t="shared" si="21"/>
        <v>0</v>
      </c>
      <c r="N36" s="402">
        <f t="shared" si="21"/>
        <v>0</v>
      </c>
      <c r="O36" s="402">
        <f t="shared" si="21"/>
        <v>0</v>
      </c>
      <c r="P36" s="402">
        <f t="shared" si="21"/>
        <v>0</v>
      </c>
      <c r="Q36" s="403">
        <f t="shared" si="21"/>
        <v>0</v>
      </c>
      <c r="R36" s="408">
        <f t="shared" si="11"/>
        <v>0</v>
      </c>
      <c r="S36" s="405">
        <f t="shared" si="8"/>
        <v>0</v>
      </c>
      <c r="T36" s="406">
        <f t="shared" si="9"/>
        <v>0</v>
      </c>
      <c r="U36" s="409"/>
    </row>
    <row r="37" spans="1:21" x14ac:dyDescent="0.2">
      <c r="A37" s="104"/>
      <c r="B37" s="398" t="s">
        <v>275</v>
      </c>
      <c r="C37" s="410" t="s">
        <v>154</v>
      </c>
      <c r="D37" s="401" t="s">
        <v>298</v>
      </c>
      <c r="E37" s="401" t="s">
        <v>262</v>
      </c>
      <c r="F37" s="402">
        <f t="shared" ref="F37:Q37" si="22">((F15/100)*$S$15)*$T$2</f>
        <v>0</v>
      </c>
      <c r="G37" s="402">
        <f t="shared" si="22"/>
        <v>0</v>
      </c>
      <c r="H37" s="402">
        <f t="shared" si="22"/>
        <v>0</v>
      </c>
      <c r="I37" s="402">
        <f t="shared" si="22"/>
        <v>0</v>
      </c>
      <c r="J37" s="402">
        <f t="shared" si="22"/>
        <v>0</v>
      </c>
      <c r="K37" s="402">
        <f t="shared" si="22"/>
        <v>0</v>
      </c>
      <c r="L37" s="402">
        <f t="shared" si="22"/>
        <v>0</v>
      </c>
      <c r="M37" s="402">
        <f t="shared" si="22"/>
        <v>0</v>
      </c>
      <c r="N37" s="402">
        <f t="shared" si="22"/>
        <v>0</v>
      </c>
      <c r="O37" s="402">
        <f t="shared" si="22"/>
        <v>0</v>
      </c>
      <c r="P37" s="402">
        <f t="shared" si="22"/>
        <v>0</v>
      </c>
      <c r="Q37" s="403">
        <f t="shared" si="22"/>
        <v>0</v>
      </c>
      <c r="R37" s="408">
        <f t="shared" si="11"/>
        <v>0</v>
      </c>
      <c r="S37" s="405">
        <f t="shared" si="8"/>
        <v>0</v>
      </c>
      <c r="T37" s="406">
        <f t="shared" si="9"/>
        <v>0</v>
      </c>
    </row>
    <row r="38" spans="1:21" x14ac:dyDescent="0.2">
      <c r="A38" s="104"/>
      <c r="B38" s="398" t="s">
        <v>276</v>
      </c>
      <c r="C38" s="411"/>
      <c r="D38" s="401" t="s">
        <v>264</v>
      </c>
      <c r="E38" s="401" t="s">
        <v>262</v>
      </c>
      <c r="F38" s="402">
        <f t="shared" ref="F38:Q38" si="23">((F15/100)*$S$15)*$T$3</f>
        <v>0</v>
      </c>
      <c r="G38" s="402">
        <f t="shared" si="23"/>
        <v>0</v>
      </c>
      <c r="H38" s="402">
        <f t="shared" si="23"/>
        <v>0</v>
      </c>
      <c r="I38" s="402">
        <f t="shared" si="23"/>
        <v>0</v>
      </c>
      <c r="J38" s="402">
        <f t="shared" si="23"/>
        <v>0</v>
      </c>
      <c r="K38" s="402">
        <f t="shared" si="23"/>
        <v>0</v>
      </c>
      <c r="L38" s="402">
        <f t="shared" si="23"/>
        <v>0</v>
      </c>
      <c r="M38" s="402">
        <f t="shared" si="23"/>
        <v>0</v>
      </c>
      <c r="N38" s="402">
        <f t="shared" si="23"/>
        <v>0</v>
      </c>
      <c r="O38" s="402">
        <f t="shared" si="23"/>
        <v>0</v>
      </c>
      <c r="P38" s="402">
        <f t="shared" si="23"/>
        <v>0</v>
      </c>
      <c r="Q38" s="403">
        <f t="shared" si="23"/>
        <v>0</v>
      </c>
      <c r="R38" s="408">
        <f t="shared" si="11"/>
        <v>0</v>
      </c>
      <c r="S38" s="405">
        <f t="shared" si="8"/>
        <v>0</v>
      </c>
      <c r="T38" s="406">
        <f t="shared" si="9"/>
        <v>0</v>
      </c>
      <c r="U38" s="409"/>
    </row>
    <row r="39" spans="1:21" x14ac:dyDescent="0.2">
      <c r="A39" s="104"/>
      <c r="B39" s="398" t="s">
        <v>277</v>
      </c>
      <c r="C39" s="410" t="s">
        <v>155</v>
      </c>
      <c r="D39" s="401" t="s">
        <v>298</v>
      </c>
      <c r="E39" s="401" t="s">
        <v>262</v>
      </c>
      <c r="F39" s="402">
        <f t="shared" ref="F39:Q39" si="24">((F16/100)*$S$16)*$T$2</f>
        <v>0</v>
      </c>
      <c r="G39" s="402">
        <f t="shared" si="24"/>
        <v>0</v>
      </c>
      <c r="H39" s="402">
        <f t="shared" si="24"/>
        <v>0</v>
      </c>
      <c r="I39" s="402">
        <f t="shared" si="24"/>
        <v>0</v>
      </c>
      <c r="J39" s="402">
        <f t="shared" si="24"/>
        <v>0</v>
      </c>
      <c r="K39" s="402">
        <f t="shared" si="24"/>
        <v>0</v>
      </c>
      <c r="L39" s="402">
        <f t="shared" si="24"/>
        <v>0</v>
      </c>
      <c r="M39" s="402">
        <f t="shared" si="24"/>
        <v>0</v>
      </c>
      <c r="N39" s="402">
        <f t="shared" si="24"/>
        <v>0</v>
      </c>
      <c r="O39" s="402">
        <f t="shared" si="24"/>
        <v>0</v>
      </c>
      <c r="P39" s="402">
        <f t="shared" si="24"/>
        <v>0</v>
      </c>
      <c r="Q39" s="403">
        <f t="shared" si="24"/>
        <v>0</v>
      </c>
      <c r="R39" s="408">
        <f t="shared" si="11"/>
        <v>0</v>
      </c>
      <c r="S39" s="405">
        <f t="shared" si="8"/>
        <v>0</v>
      </c>
      <c r="T39" s="406">
        <f t="shared" si="9"/>
        <v>0</v>
      </c>
    </row>
    <row r="40" spans="1:21" x14ac:dyDescent="0.2">
      <c r="A40" s="104"/>
      <c r="B40" s="398" t="s">
        <v>278</v>
      </c>
      <c r="C40" s="411"/>
      <c r="D40" s="401" t="s">
        <v>264</v>
      </c>
      <c r="E40" s="401" t="s">
        <v>262</v>
      </c>
      <c r="F40" s="402">
        <f t="shared" ref="F40:Q40" si="25">((F16/100)*$S$16)*$T$3</f>
        <v>0</v>
      </c>
      <c r="G40" s="402">
        <f t="shared" si="25"/>
        <v>0</v>
      </c>
      <c r="H40" s="402">
        <f t="shared" si="25"/>
        <v>0</v>
      </c>
      <c r="I40" s="402">
        <f t="shared" si="25"/>
        <v>0</v>
      </c>
      <c r="J40" s="402">
        <f t="shared" si="25"/>
        <v>0</v>
      </c>
      <c r="K40" s="402">
        <f t="shared" si="25"/>
        <v>0</v>
      </c>
      <c r="L40" s="402">
        <f t="shared" si="25"/>
        <v>0</v>
      </c>
      <c r="M40" s="402">
        <f t="shared" si="25"/>
        <v>0</v>
      </c>
      <c r="N40" s="402">
        <f t="shared" si="25"/>
        <v>0</v>
      </c>
      <c r="O40" s="402">
        <f t="shared" si="25"/>
        <v>0</v>
      </c>
      <c r="P40" s="402">
        <f t="shared" si="25"/>
        <v>0</v>
      </c>
      <c r="Q40" s="403">
        <f t="shared" si="25"/>
        <v>0</v>
      </c>
      <c r="R40" s="408">
        <f t="shared" si="11"/>
        <v>0</v>
      </c>
      <c r="S40" s="405">
        <f t="shared" si="8"/>
        <v>0</v>
      </c>
      <c r="T40" s="406">
        <f t="shared" si="9"/>
        <v>0</v>
      </c>
      <c r="U40" s="409"/>
    </row>
    <row r="41" spans="1:21" x14ac:dyDescent="0.2">
      <c r="A41" s="104"/>
      <c r="B41" s="398" t="s">
        <v>279</v>
      </c>
      <c r="C41" s="410" t="s">
        <v>157</v>
      </c>
      <c r="D41" s="401" t="s">
        <v>298</v>
      </c>
      <c r="E41" s="401" t="s">
        <v>262</v>
      </c>
      <c r="F41" s="402">
        <f t="shared" ref="F41:Q41" si="26">((F17/100)*$S$17)*$T$2</f>
        <v>0</v>
      </c>
      <c r="G41" s="402">
        <f t="shared" si="26"/>
        <v>0</v>
      </c>
      <c r="H41" s="402">
        <f t="shared" si="26"/>
        <v>0</v>
      </c>
      <c r="I41" s="402">
        <f t="shared" si="26"/>
        <v>0</v>
      </c>
      <c r="J41" s="402">
        <f t="shared" si="26"/>
        <v>0</v>
      </c>
      <c r="K41" s="402">
        <f t="shared" si="26"/>
        <v>0</v>
      </c>
      <c r="L41" s="402">
        <f t="shared" si="26"/>
        <v>0</v>
      </c>
      <c r="M41" s="402">
        <f t="shared" si="26"/>
        <v>0</v>
      </c>
      <c r="N41" s="402">
        <f t="shared" si="26"/>
        <v>0</v>
      </c>
      <c r="O41" s="402">
        <f t="shared" si="26"/>
        <v>0</v>
      </c>
      <c r="P41" s="402">
        <f t="shared" si="26"/>
        <v>0</v>
      </c>
      <c r="Q41" s="403">
        <f t="shared" si="26"/>
        <v>0</v>
      </c>
      <c r="R41" s="408">
        <f t="shared" si="11"/>
        <v>0</v>
      </c>
      <c r="S41" s="405">
        <f t="shared" si="8"/>
        <v>0</v>
      </c>
      <c r="T41" s="406">
        <f t="shared" si="9"/>
        <v>0</v>
      </c>
    </row>
    <row r="42" spans="1:21" x14ac:dyDescent="0.2">
      <c r="A42" s="104"/>
      <c r="B42" s="398" t="s">
        <v>280</v>
      </c>
      <c r="C42" s="411"/>
      <c r="D42" s="401" t="s">
        <v>264</v>
      </c>
      <c r="E42" s="401" t="s">
        <v>262</v>
      </c>
      <c r="F42" s="402">
        <f t="shared" ref="F42:Q42" si="27">((F17/100)*$S$17)*$T$3</f>
        <v>0</v>
      </c>
      <c r="G42" s="402">
        <f t="shared" si="27"/>
        <v>0</v>
      </c>
      <c r="H42" s="402">
        <f t="shared" si="27"/>
        <v>0</v>
      </c>
      <c r="I42" s="402">
        <f t="shared" si="27"/>
        <v>0</v>
      </c>
      <c r="J42" s="402">
        <f t="shared" si="27"/>
        <v>0</v>
      </c>
      <c r="K42" s="402">
        <f t="shared" si="27"/>
        <v>0</v>
      </c>
      <c r="L42" s="402">
        <f t="shared" si="27"/>
        <v>0</v>
      </c>
      <c r="M42" s="402">
        <f t="shared" si="27"/>
        <v>0</v>
      </c>
      <c r="N42" s="402">
        <f t="shared" si="27"/>
        <v>0</v>
      </c>
      <c r="O42" s="402">
        <f t="shared" si="27"/>
        <v>0</v>
      </c>
      <c r="P42" s="402">
        <f t="shared" si="27"/>
        <v>0</v>
      </c>
      <c r="Q42" s="403">
        <f t="shared" si="27"/>
        <v>0</v>
      </c>
      <c r="R42" s="408">
        <f t="shared" si="11"/>
        <v>0</v>
      </c>
      <c r="S42" s="405">
        <f t="shared" si="8"/>
        <v>0</v>
      </c>
      <c r="T42" s="406">
        <f t="shared" si="9"/>
        <v>0</v>
      </c>
      <c r="U42" s="409"/>
    </row>
    <row r="43" spans="1:21" x14ac:dyDescent="0.2">
      <c r="A43" s="104"/>
      <c r="B43" s="398" t="s">
        <v>281</v>
      </c>
      <c r="C43" s="410" t="s">
        <v>151</v>
      </c>
      <c r="D43" s="401" t="s">
        <v>298</v>
      </c>
      <c r="E43" s="401" t="s">
        <v>262</v>
      </c>
      <c r="F43" s="402">
        <f t="shared" ref="F43:Q43" si="28">((F18/100)*$S$18)*$T$2</f>
        <v>0</v>
      </c>
      <c r="G43" s="402">
        <f t="shared" si="28"/>
        <v>0</v>
      </c>
      <c r="H43" s="402">
        <f t="shared" si="28"/>
        <v>0</v>
      </c>
      <c r="I43" s="402">
        <f t="shared" si="28"/>
        <v>0</v>
      </c>
      <c r="J43" s="402">
        <f t="shared" si="28"/>
        <v>0</v>
      </c>
      <c r="K43" s="402">
        <f t="shared" si="28"/>
        <v>0</v>
      </c>
      <c r="L43" s="402">
        <f t="shared" si="28"/>
        <v>0</v>
      </c>
      <c r="M43" s="402">
        <f t="shared" si="28"/>
        <v>0</v>
      </c>
      <c r="N43" s="402">
        <f t="shared" si="28"/>
        <v>0</v>
      </c>
      <c r="O43" s="402">
        <f t="shared" si="28"/>
        <v>0</v>
      </c>
      <c r="P43" s="402">
        <f t="shared" si="28"/>
        <v>0</v>
      </c>
      <c r="Q43" s="403">
        <f t="shared" si="28"/>
        <v>0</v>
      </c>
      <c r="R43" s="408">
        <f t="shared" si="11"/>
        <v>0</v>
      </c>
      <c r="S43" s="405">
        <f t="shared" si="8"/>
        <v>0</v>
      </c>
      <c r="T43" s="406">
        <f t="shared" si="9"/>
        <v>0</v>
      </c>
    </row>
    <row r="44" spans="1:21" x14ac:dyDescent="0.2">
      <c r="A44" s="104"/>
      <c r="B44" s="398" t="s">
        <v>282</v>
      </c>
      <c r="C44" s="411"/>
      <c r="D44" s="401" t="s">
        <v>264</v>
      </c>
      <c r="E44" s="401" t="s">
        <v>262</v>
      </c>
      <c r="F44" s="402">
        <f t="shared" ref="F44:Q44" si="29">((F18/100)*$S$18)*$T$3</f>
        <v>0</v>
      </c>
      <c r="G44" s="402">
        <f t="shared" si="29"/>
        <v>0</v>
      </c>
      <c r="H44" s="402">
        <f t="shared" si="29"/>
        <v>0</v>
      </c>
      <c r="I44" s="402">
        <f t="shared" si="29"/>
        <v>0</v>
      </c>
      <c r="J44" s="402">
        <f t="shared" si="29"/>
        <v>0</v>
      </c>
      <c r="K44" s="402">
        <f t="shared" si="29"/>
        <v>0</v>
      </c>
      <c r="L44" s="402">
        <f t="shared" si="29"/>
        <v>0</v>
      </c>
      <c r="M44" s="402">
        <f t="shared" si="29"/>
        <v>0</v>
      </c>
      <c r="N44" s="402">
        <f t="shared" si="29"/>
        <v>0</v>
      </c>
      <c r="O44" s="402">
        <f t="shared" si="29"/>
        <v>0</v>
      </c>
      <c r="P44" s="402">
        <f t="shared" si="29"/>
        <v>0</v>
      </c>
      <c r="Q44" s="403">
        <f t="shared" si="29"/>
        <v>0</v>
      </c>
      <c r="R44" s="408">
        <f t="shared" si="11"/>
        <v>0</v>
      </c>
      <c r="S44" s="405">
        <f t="shared" si="8"/>
        <v>0</v>
      </c>
      <c r="T44" s="406">
        <f t="shared" si="9"/>
        <v>0</v>
      </c>
      <c r="U44" s="409"/>
    </row>
    <row r="45" spans="1:21" x14ac:dyDescent="0.2">
      <c r="A45" s="104"/>
      <c r="B45" s="398" t="s">
        <v>283</v>
      </c>
      <c r="C45" s="410" t="s">
        <v>176</v>
      </c>
      <c r="D45" s="401" t="s">
        <v>298</v>
      </c>
      <c r="E45" s="401" t="s">
        <v>262</v>
      </c>
      <c r="F45" s="402">
        <f t="shared" ref="F45:Q45" si="30">((F19/100)*$S$19)*$T$2</f>
        <v>0</v>
      </c>
      <c r="G45" s="402">
        <f t="shared" si="30"/>
        <v>0</v>
      </c>
      <c r="H45" s="402">
        <f t="shared" si="30"/>
        <v>0</v>
      </c>
      <c r="I45" s="402">
        <f t="shared" si="30"/>
        <v>0</v>
      </c>
      <c r="J45" s="402">
        <f t="shared" si="30"/>
        <v>0</v>
      </c>
      <c r="K45" s="402">
        <f t="shared" si="30"/>
        <v>0</v>
      </c>
      <c r="L45" s="402">
        <f t="shared" si="30"/>
        <v>0</v>
      </c>
      <c r="M45" s="402">
        <f t="shared" si="30"/>
        <v>0</v>
      </c>
      <c r="N45" s="402">
        <f t="shared" si="30"/>
        <v>0</v>
      </c>
      <c r="O45" s="402">
        <f t="shared" si="30"/>
        <v>0</v>
      </c>
      <c r="P45" s="402">
        <f t="shared" si="30"/>
        <v>0</v>
      </c>
      <c r="Q45" s="403">
        <f t="shared" si="30"/>
        <v>0</v>
      </c>
      <c r="R45" s="408">
        <f t="shared" si="11"/>
        <v>0</v>
      </c>
      <c r="S45" s="405">
        <f t="shared" si="8"/>
        <v>0</v>
      </c>
      <c r="T45" s="406">
        <f t="shared" si="9"/>
        <v>0</v>
      </c>
    </row>
    <row r="46" spans="1:21" x14ac:dyDescent="0.2">
      <c r="A46" s="104"/>
      <c r="B46" s="398" t="s">
        <v>284</v>
      </c>
      <c r="C46" s="411"/>
      <c r="D46" s="401" t="s">
        <v>264</v>
      </c>
      <c r="E46" s="401" t="s">
        <v>262</v>
      </c>
      <c r="F46" s="402">
        <f t="shared" ref="F46:Q46" si="31">((F19/100)*$S$19)*$T$3</f>
        <v>0</v>
      </c>
      <c r="G46" s="402">
        <f t="shared" si="31"/>
        <v>0</v>
      </c>
      <c r="H46" s="402">
        <f t="shared" si="31"/>
        <v>0</v>
      </c>
      <c r="I46" s="402">
        <f t="shared" si="31"/>
        <v>0</v>
      </c>
      <c r="J46" s="402">
        <f t="shared" si="31"/>
        <v>0</v>
      </c>
      <c r="K46" s="402">
        <f t="shared" si="31"/>
        <v>0</v>
      </c>
      <c r="L46" s="402">
        <f t="shared" si="31"/>
        <v>0</v>
      </c>
      <c r="M46" s="402">
        <f t="shared" si="31"/>
        <v>0</v>
      </c>
      <c r="N46" s="402">
        <f t="shared" si="31"/>
        <v>0</v>
      </c>
      <c r="O46" s="402">
        <f t="shared" si="31"/>
        <v>0</v>
      </c>
      <c r="P46" s="402">
        <f t="shared" si="31"/>
        <v>0</v>
      </c>
      <c r="Q46" s="403">
        <f t="shared" si="31"/>
        <v>0</v>
      </c>
      <c r="R46" s="408">
        <f t="shared" si="11"/>
        <v>0</v>
      </c>
      <c r="S46" s="405">
        <f t="shared" si="8"/>
        <v>0</v>
      </c>
      <c r="T46" s="406">
        <f t="shared" si="9"/>
        <v>0</v>
      </c>
      <c r="U46" s="409"/>
    </row>
    <row r="47" spans="1:21" x14ac:dyDescent="0.2">
      <c r="A47" s="104"/>
      <c r="B47" s="412"/>
      <c r="C47" s="413"/>
      <c r="D47" s="413"/>
      <c r="E47" s="413"/>
      <c r="F47" s="414"/>
      <c r="G47" s="414"/>
      <c r="H47" s="414"/>
      <c r="I47" s="414"/>
      <c r="J47" s="414"/>
      <c r="K47" s="414"/>
      <c r="L47" s="414"/>
      <c r="M47" s="414"/>
      <c r="N47" s="414"/>
      <c r="O47" s="414"/>
      <c r="P47" s="414"/>
      <c r="Q47" s="415"/>
      <c r="R47" s="414"/>
      <c r="S47" s="414"/>
      <c r="T47" s="416"/>
    </row>
    <row r="48" spans="1:21" x14ac:dyDescent="0.2">
      <c r="A48" s="104"/>
      <c r="B48" s="398" t="s">
        <v>285</v>
      </c>
      <c r="C48" s="410" t="s">
        <v>257</v>
      </c>
      <c r="D48" s="407" t="s">
        <v>298</v>
      </c>
      <c r="E48" s="407" t="s">
        <v>262</v>
      </c>
      <c r="F48" s="417">
        <f t="shared" ref="F48:Q48" si="32">SUMIF($D$25:$D$46,"FINANCIAMENTO",F$25:F$46)</f>
        <v>0</v>
      </c>
      <c r="G48" s="417">
        <f t="shared" si="32"/>
        <v>0</v>
      </c>
      <c r="H48" s="417">
        <f t="shared" si="32"/>
        <v>0</v>
      </c>
      <c r="I48" s="417">
        <f t="shared" si="32"/>
        <v>0</v>
      </c>
      <c r="J48" s="417">
        <f t="shared" si="32"/>
        <v>0</v>
      </c>
      <c r="K48" s="417">
        <f t="shared" si="32"/>
        <v>0</v>
      </c>
      <c r="L48" s="417">
        <f t="shared" si="32"/>
        <v>0</v>
      </c>
      <c r="M48" s="417">
        <f t="shared" si="32"/>
        <v>0</v>
      </c>
      <c r="N48" s="417">
        <f t="shared" si="32"/>
        <v>0</v>
      </c>
      <c r="O48" s="417">
        <f t="shared" si="32"/>
        <v>0</v>
      </c>
      <c r="P48" s="417">
        <f t="shared" si="32"/>
        <v>0</v>
      </c>
      <c r="Q48" s="418">
        <f t="shared" si="32"/>
        <v>0</v>
      </c>
      <c r="R48" s="419"/>
      <c r="S48" s="420">
        <f>SUMIF($D$25:$D$46,"FINANCIAMENTO",S$25:S$46)</f>
        <v>0</v>
      </c>
      <c r="T48" s="421">
        <f>SUMIF($D$25:$D$46,"FINANCIAMENTO",T$25:T$46)</f>
        <v>0</v>
      </c>
    </row>
    <row r="49" spans="1:20" x14ac:dyDescent="0.2">
      <c r="A49" s="104"/>
      <c r="B49" s="398" t="s">
        <v>286</v>
      </c>
      <c r="C49" s="411"/>
      <c r="D49" s="422" t="s">
        <v>264</v>
      </c>
      <c r="E49" s="422" t="s">
        <v>262</v>
      </c>
      <c r="F49" s="417">
        <f t="shared" ref="F49:T49" si="33">SUMIF($D$25:$D$46,"CONTRAPARTIDA",F$25:F$46)</f>
        <v>0</v>
      </c>
      <c r="G49" s="417">
        <f t="shared" si="33"/>
        <v>0</v>
      </c>
      <c r="H49" s="417">
        <f t="shared" si="33"/>
        <v>0</v>
      </c>
      <c r="I49" s="417">
        <f t="shared" si="33"/>
        <v>0</v>
      </c>
      <c r="J49" s="417">
        <f t="shared" si="33"/>
        <v>0</v>
      </c>
      <c r="K49" s="417">
        <f t="shared" si="33"/>
        <v>0</v>
      </c>
      <c r="L49" s="417">
        <f t="shared" si="33"/>
        <v>0</v>
      </c>
      <c r="M49" s="417">
        <f t="shared" si="33"/>
        <v>0</v>
      </c>
      <c r="N49" s="417">
        <f t="shared" si="33"/>
        <v>0</v>
      </c>
      <c r="O49" s="417">
        <f t="shared" si="33"/>
        <v>0</v>
      </c>
      <c r="P49" s="417">
        <f t="shared" si="33"/>
        <v>0</v>
      </c>
      <c r="Q49" s="418">
        <f t="shared" si="33"/>
        <v>0</v>
      </c>
      <c r="R49" s="423"/>
      <c r="S49" s="420">
        <f t="shared" si="33"/>
        <v>0</v>
      </c>
      <c r="T49" s="421">
        <f t="shared" si="33"/>
        <v>0</v>
      </c>
    </row>
    <row r="50" spans="1:20" x14ac:dyDescent="0.2">
      <c r="A50" s="104"/>
      <c r="B50" s="424"/>
      <c r="C50" s="413"/>
      <c r="D50" s="413"/>
      <c r="E50" s="413"/>
      <c r="F50" s="414"/>
      <c r="G50" s="414"/>
      <c r="H50" s="414"/>
      <c r="I50" s="414"/>
      <c r="J50" s="414"/>
      <c r="K50" s="414"/>
      <c r="L50" s="414"/>
      <c r="M50" s="414"/>
      <c r="N50" s="414"/>
      <c r="O50" s="414"/>
      <c r="P50" s="414"/>
      <c r="Q50" s="415"/>
      <c r="R50" s="414"/>
      <c r="S50" s="425"/>
      <c r="T50" s="426"/>
    </row>
    <row r="51" spans="1:20" ht="15" customHeight="1" thickBot="1" x14ac:dyDescent="0.25">
      <c r="A51" s="104"/>
      <c r="B51" s="427" t="s">
        <v>287</v>
      </c>
      <c r="C51" s="428"/>
      <c r="D51" s="428"/>
      <c r="E51" s="429" t="s">
        <v>262</v>
      </c>
      <c r="F51" s="430">
        <f t="shared" ref="F51:Q51" si="34">SUM(F48:F49)</f>
        <v>0</v>
      </c>
      <c r="G51" s="430">
        <f t="shared" si="34"/>
        <v>0</v>
      </c>
      <c r="H51" s="430">
        <f t="shared" si="34"/>
        <v>0</v>
      </c>
      <c r="I51" s="430">
        <f t="shared" si="34"/>
        <v>0</v>
      </c>
      <c r="J51" s="430">
        <f t="shared" si="34"/>
        <v>0</v>
      </c>
      <c r="K51" s="430">
        <f t="shared" si="34"/>
        <v>0</v>
      </c>
      <c r="L51" s="431">
        <f t="shared" si="34"/>
        <v>0</v>
      </c>
      <c r="M51" s="431">
        <f t="shared" si="34"/>
        <v>0</v>
      </c>
      <c r="N51" s="431">
        <f t="shared" si="34"/>
        <v>0</v>
      </c>
      <c r="O51" s="431">
        <f t="shared" si="34"/>
        <v>0</v>
      </c>
      <c r="P51" s="431">
        <f t="shared" si="34"/>
        <v>0</v>
      </c>
      <c r="Q51" s="432">
        <f t="shared" si="34"/>
        <v>0</v>
      </c>
      <c r="R51" s="433"/>
      <c r="S51" s="434">
        <f>SUM(F51:Q51)</f>
        <v>0</v>
      </c>
      <c r="T51" s="435">
        <f>SUM(T48:T49)</f>
        <v>0</v>
      </c>
    </row>
    <row r="52" spans="1:20" ht="15" customHeight="1" thickTop="1" thickBot="1" x14ac:dyDescent="0.25">
      <c r="A52" s="104"/>
      <c r="B52" s="436" t="s">
        <v>288</v>
      </c>
      <c r="C52" s="437"/>
      <c r="D52" s="437"/>
      <c r="E52" s="438" t="s">
        <v>262</v>
      </c>
      <c r="F52" s="439">
        <f t="shared" ref="F52:Q52" si="35">IF($S$51=0,0,F51/$S$51)</f>
        <v>0</v>
      </c>
      <c r="G52" s="439">
        <f t="shared" si="35"/>
        <v>0</v>
      </c>
      <c r="H52" s="439">
        <f t="shared" si="35"/>
        <v>0</v>
      </c>
      <c r="I52" s="439">
        <f t="shared" si="35"/>
        <v>0</v>
      </c>
      <c r="J52" s="439">
        <f t="shared" si="35"/>
        <v>0</v>
      </c>
      <c r="K52" s="439">
        <f t="shared" si="35"/>
        <v>0</v>
      </c>
      <c r="L52" s="439">
        <f t="shared" si="35"/>
        <v>0</v>
      </c>
      <c r="M52" s="439">
        <f t="shared" si="35"/>
        <v>0</v>
      </c>
      <c r="N52" s="439">
        <f t="shared" si="35"/>
        <v>0</v>
      </c>
      <c r="O52" s="439">
        <f t="shared" si="35"/>
        <v>0</v>
      </c>
      <c r="P52" s="439">
        <f t="shared" si="35"/>
        <v>0</v>
      </c>
      <c r="Q52" s="440">
        <f t="shared" si="35"/>
        <v>0</v>
      </c>
      <c r="R52" s="441"/>
      <c r="S52" s="434">
        <f>S48+S49</f>
        <v>0</v>
      </c>
      <c r="T52" s="442">
        <f>SUM(F52:Q52)</f>
        <v>0</v>
      </c>
    </row>
    <row r="53" spans="1:20" ht="15" customHeight="1" thickTop="1" thickBot="1" x14ac:dyDescent="0.25">
      <c r="A53" s="104"/>
      <c r="B53" s="443" t="s">
        <v>289</v>
      </c>
      <c r="C53" s="444"/>
      <c r="D53" s="444"/>
      <c r="E53" s="445" t="s">
        <v>262</v>
      </c>
      <c r="F53" s="446">
        <f>F52</f>
        <v>0</v>
      </c>
      <c r="G53" s="446">
        <f t="shared" ref="G53:H53" si="36">IF(G51=0,0,F53+G52)</f>
        <v>0</v>
      </c>
      <c r="H53" s="446">
        <f t="shared" si="36"/>
        <v>0</v>
      </c>
      <c r="I53" s="446">
        <f>IF(I51=0,0,H53+I52)</f>
        <v>0</v>
      </c>
      <c r="J53" s="446">
        <f t="shared" ref="J53:Q53" si="37">IF(J51=0,0,I53+J52)</f>
        <v>0</v>
      </c>
      <c r="K53" s="446">
        <f t="shared" si="37"/>
        <v>0</v>
      </c>
      <c r="L53" s="446">
        <f t="shared" si="37"/>
        <v>0</v>
      </c>
      <c r="M53" s="446">
        <f t="shared" si="37"/>
        <v>0</v>
      </c>
      <c r="N53" s="446">
        <f t="shared" si="37"/>
        <v>0</v>
      </c>
      <c r="O53" s="446">
        <f t="shared" si="37"/>
        <v>0</v>
      </c>
      <c r="P53" s="446">
        <f t="shared" si="37"/>
        <v>0</v>
      </c>
      <c r="Q53" s="447">
        <f t="shared" si="37"/>
        <v>0</v>
      </c>
      <c r="R53" s="448"/>
      <c r="S53" s="449" t="str">
        <f>IF(S51=S52,"OK","CORRIGIR")</f>
        <v>OK</v>
      </c>
      <c r="T53" s="450" t="str">
        <f>IF(T51=T52,"OK","CORRIGIR")</f>
        <v>OK</v>
      </c>
    </row>
    <row r="54" spans="1:20" ht="15" customHeight="1" x14ac:dyDescent="0.2">
      <c r="A54" s="104"/>
      <c r="B54" s="451" t="s">
        <v>290</v>
      </c>
      <c r="C54" s="452"/>
      <c r="D54" s="453"/>
      <c r="E54" s="454"/>
      <c r="F54" s="452" t="s">
        <v>291</v>
      </c>
      <c r="G54" s="107"/>
      <c r="H54" s="107"/>
      <c r="I54" s="108"/>
      <c r="J54" s="455" t="s">
        <v>292</v>
      </c>
      <c r="K54" s="456"/>
      <c r="L54" s="456"/>
      <c r="M54" s="457"/>
      <c r="N54" s="458" t="s">
        <v>291</v>
      </c>
      <c r="O54" s="109"/>
      <c r="P54" s="459"/>
      <c r="Q54" s="452" t="s">
        <v>293</v>
      </c>
      <c r="R54" s="460"/>
      <c r="S54" s="460"/>
      <c r="T54" s="461"/>
    </row>
    <row r="55" spans="1:20" ht="19.5" customHeight="1" thickBot="1" x14ac:dyDescent="0.25">
      <c r="A55" s="104"/>
      <c r="B55" s="110"/>
      <c r="C55" s="462"/>
      <c r="D55" s="463"/>
      <c r="E55" s="111"/>
      <c r="F55" s="111"/>
      <c r="G55" s="112" t="s">
        <v>294</v>
      </c>
      <c r="H55" s="111"/>
      <c r="I55" s="113"/>
      <c r="J55" s="114"/>
      <c r="K55" s="115"/>
      <c r="L55" s="464"/>
      <c r="M55" s="465"/>
      <c r="N55" s="116"/>
      <c r="O55" s="117" t="s">
        <v>295</v>
      </c>
      <c r="P55" s="118"/>
      <c r="Q55" s="119"/>
      <c r="R55" s="120"/>
      <c r="S55" s="120"/>
      <c r="T55" s="121"/>
    </row>
  </sheetData>
  <pageMargins left="0.78740157480314965" right="0.78740157480314965" top="0.78740157480314965" bottom="0.78740157480314965" header="0.51181102362204722" footer="0.51181102362204722"/>
  <pageSetup paperSize="8" scale="9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84"/>
  <sheetViews>
    <sheetView showZeros="0" topLeftCell="A40" zoomScale="60" zoomScaleNormal="60" workbookViewId="0">
      <selection activeCell="J3" sqref="J3:J82"/>
    </sheetView>
  </sheetViews>
  <sheetFormatPr defaultColWidth="12" defaultRowHeight="11.25" x14ac:dyDescent="0.2"/>
  <cols>
    <col min="1" max="1" width="15.83203125" style="2" bestFit="1" customWidth="1"/>
    <col min="2" max="2" width="15.83203125" style="2" customWidth="1"/>
    <col min="3" max="3" width="59.6640625" style="2" customWidth="1"/>
    <col min="4" max="4" width="0.6640625" style="2" customWidth="1"/>
    <col min="5" max="5" width="15.1640625" style="2" customWidth="1"/>
    <col min="6" max="6" width="15.83203125" style="2" customWidth="1"/>
    <col min="7" max="7" width="12.6640625" style="2" customWidth="1"/>
    <col min="8" max="8" width="17.83203125" style="2" customWidth="1"/>
    <col min="9" max="9" width="12.83203125" style="2" bestFit="1" customWidth="1"/>
    <col min="10" max="10" width="16.1640625" style="2" bestFit="1" customWidth="1"/>
    <col min="11" max="11" width="8.1640625" style="2" customWidth="1"/>
    <col min="12" max="12" width="13.83203125" style="2" customWidth="1"/>
    <col min="13" max="13" width="13.5" style="2" customWidth="1"/>
    <col min="14" max="14" width="25.1640625" style="2" customWidth="1"/>
    <col min="15" max="15" width="21.5" style="2" customWidth="1"/>
    <col min="16" max="16" width="3.83203125" style="2" customWidth="1"/>
    <col min="17" max="17" width="18" style="2" customWidth="1"/>
    <col min="18" max="18" width="15.5" style="2" customWidth="1"/>
    <col min="19" max="19" width="14.6640625" style="2" customWidth="1"/>
    <col min="20" max="20" width="25.1640625" style="2" customWidth="1"/>
    <col min="21" max="23" width="23.1640625" style="2" customWidth="1"/>
    <col min="24" max="24" width="4.6640625" style="2" customWidth="1"/>
    <col min="25" max="25" width="19.5" style="2" customWidth="1"/>
    <col min="26" max="26" width="20.1640625" style="2" customWidth="1"/>
    <col min="27" max="16384" width="12" style="2"/>
  </cols>
  <sheetData>
    <row r="1" spans="1:24" ht="17.100000000000001" customHeight="1" thickBot="1" x14ac:dyDescent="0.3">
      <c r="A1" s="4"/>
      <c r="B1" s="4"/>
      <c r="C1" s="10"/>
      <c r="D1" s="10"/>
      <c r="E1" s="6"/>
      <c r="F1" s="8"/>
      <c r="G1" s="8"/>
      <c r="H1" s="6"/>
      <c r="I1" s="6"/>
      <c r="J1" s="6"/>
      <c r="K1" s="1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8"/>
    </row>
    <row r="2" spans="1:24" ht="70.5" customHeight="1" thickBot="1" x14ac:dyDescent="0.3">
      <c r="A2" s="12" t="s">
        <v>77</v>
      </c>
      <c r="B2" s="34"/>
      <c r="C2" s="13" t="s">
        <v>11</v>
      </c>
      <c r="D2" s="14"/>
      <c r="E2" s="15" t="s">
        <v>12</v>
      </c>
      <c r="F2" s="16" t="s">
        <v>13</v>
      </c>
      <c r="G2" s="16" t="s">
        <v>14</v>
      </c>
      <c r="H2" s="17" t="s">
        <v>15</v>
      </c>
      <c r="I2" s="19" t="s">
        <v>354</v>
      </c>
      <c r="J2" s="18" t="s">
        <v>16</v>
      </c>
      <c r="K2" s="19" t="s">
        <v>177</v>
      </c>
      <c r="L2" s="20" t="s">
        <v>17</v>
      </c>
      <c r="M2" s="12" t="s">
        <v>76</v>
      </c>
      <c r="N2" s="12" t="s">
        <v>18</v>
      </c>
      <c r="O2" s="21" t="s">
        <v>19</v>
      </c>
      <c r="P2" s="22" t="s">
        <v>20</v>
      </c>
      <c r="Q2" s="21" t="s">
        <v>21</v>
      </c>
      <c r="R2" s="21" t="s">
        <v>22</v>
      </c>
      <c r="S2" s="21" t="s">
        <v>203</v>
      </c>
      <c r="T2" s="21" t="s">
        <v>23</v>
      </c>
      <c r="U2" s="21" t="s">
        <v>202</v>
      </c>
      <c r="V2" s="21" t="s">
        <v>201</v>
      </c>
      <c r="W2" s="21" t="s">
        <v>24</v>
      </c>
      <c r="X2" s="19" t="s">
        <v>25</v>
      </c>
    </row>
    <row r="3" spans="1:24" ht="16.5" thickBot="1" x14ac:dyDescent="0.3">
      <c r="A3" s="4"/>
      <c r="B3" s="4"/>
      <c r="C3" s="3" t="s">
        <v>26</v>
      </c>
      <c r="D3" s="9"/>
      <c r="E3" s="81">
        <f>O3*0.846</f>
        <v>0.87983999999999996</v>
      </c>
      <c r="F3" s="81">
        <f>A3*0.231+M3*0.1+O3*0.0588+P3*0.18+Q3*0.27+R3*0.33+T3*0.005*0.434</f>
        <v>0.11541040000000001</v>
      </c>
      <c r="G3" s="81">
        <f>A3*0.6447+M3*0.51+O3*0.396+P3*1.06+Q3*0.96+R3*0.921+T3*0.005*1.575</f>
        <v>0.62209000000000003</v>
      </c>
      <c r="H3" s="81">
        <f>A3*(0.777+0.45)+M3*(1.5)+P3*1.11+Q3*1.11+R3*1.11</f>
        <v>0.20424000000000003</v>
      </c>
      <c r="I3" s="5"/>
      <c r="J3" s="469">
        <f>A3*345.22+M3*265.87+N3*113.57+O3*536+P3*387.29+Q3*428.6+R3*457.4+S3*464.24+T3*420.56*0.005+U3*26.13+V3*17.82+W3*19.93+X3*359.34+K3*436.99+I3*367.03</f>
        <v>1362.4516159999998</v>
      </c>
      <c r="K3" s="5"/>
      <c r="L3" s="81">
        <f>O3*0.0282</f>
        <v>2.9328E-2</v>
      </c>
      <c r="M3" s="6"/>
      <c r="N3" s="263">
        <f>ROUND(1.5*1.25/4,2)</f>
        <v>0.47</v>
      </c>
      <c r="O3" s="263">
        <f>ROUND(O4/1.5*1.2,2)</f>
        <v>1.04</v>
      </c>
      <c r="P3" s="263">
        <v>9.4E-2</v>
      </c>
      <c r="Q3" s="8"/>
      <c r="R3" s="263">
        <v>0.09</v>
      </c>
      <c r="S3" s="7"/>
      <c r="T3" s="263">
        <f>ROUND(T4/1.5*1.2,2)</f>
        <v>3.52</v>
      </c>
      <c r="U3" s="7"/>
      <c r="V3" s="7"/>
      <c r="W3" s="263">
        <v>15.42</v>
      </c>
      <c r="X3" s="262">
        <v>1</v>
      </c>
    </row>
    <row r="4" spans="1:24" ht="16.5" thickBot="1" x14ac:dyDescent="0.3">
      <c r="A4" s="4"/>
      <c r="B4" s="4"/>
      <c r="C4" s="3" t="s">
        <v>27</v>
      </c>
      <c r="D4" s="9"/>
      <c r="E4" s="1">
        <f t="shared" ref="E4:E67" si="0">O4*0.846</f>
        <v>1.0998000000000001</v>
      </c>
      <c r="F4" s="1">
        <f t="shared" ref="F4:F67" si="1">A4*0.231+M4*0.1+O4*0.0588+P4*0.18+Q4*0.27+R4*0.33+T4*0.005*0.434</f>
        <v>0.132608</v>
      </c>
      <c r="G4" s="1">
        <f t="shared" ref="G4:G67" si="2">A4*0.6447+M4*0.51+O4*0.396+P4*1.06+Q4*0.96+R4*0.921+T4*0.005*1.575</f>
        <v>0.73198000000000008</v>
      </c>
      <c r="H4" s="1">
        <f>A4*(0.777+0.45)+M4*(1.5)+P4*1.11+Q4*1.11+R4*1.11</f>
        <v>0.20424000000000003</v>
      </c>
      <c r="I4" s="5"/>
      <c r="J4" s="469">
        <f t="shared" ref="J4:J67" si="3">A4*345.22+M4*265.87+N4*113.57+O4*536+P4*387.29+Q4*428.6+R4*457.4+S4*464.24+T4*420.56*0.005+U4*26.13+V4*17.82+W4*19.93+X4*359.34+K4*436.99+I4*367.03</f>
        <v>1503.6620800000001</v>
      </c>
      <c r="K4" s="5"/>
      <c r="L4" s="1">
        <f t="shared" ref="L4:L67" si="4">O4*0.0282</f>
        <v>3.6659999999999998E-2</v>
      </c>
      <c r="M4" s="6"/>
      <c r="N4" s="7">
        <f>ROUND(1.5*1.25/4,2)</f>
        <v>0.47</v>
      </c>
      <c r="O4" s="23">
        <f>ROUND(0.89*2*0.25*(1.5+0.75)*1.3,2)</f>
        <v>1.3</v>
      </c>
      <c r="P4" s="7">
        <v>9.4E-2</v>
      </c>
      <c r="Q4" s="8"/>
      <c r="R4" s="7">
        <v>0.09</v>
      </c>
      <c r="S4" s="7"/>
      <c r="T4" s="23">
        <v>4.4000000000000004</v>
      </c>
      <c r="U4" s="7"/>
      <c r="V4" s="7"/>
      <c r="W4" s="7">
        <v>15.42</v>
      </c>
      <c r="X4" s="8">
        <v>1</v>
      </c>
    </row>
    <row r="5" spans="1:24" ht="16.5" thickBot="1" x14ac:dyDescent="0.3">
      <c r="A5" s="4"/>
      <c r="B5" s="4"/>
      <c r="C5" s="3" t="s">
        <v>28</v>
      </c>
      <c r="D5" s="9"/>
      <c r="E5" s="1">
        <f t="shared" si="0"/>
        <v>1.4635799999999999</v>
      </c>
      <c r="F5" s="1">
        <f t="shared" si="1"/>
        <v>0.1610819</v>
      </c>
      <c r="G5" s="1">
        <f t="shared" si="2"/>
        <v>0.91383625000000013</v>
      </c>
      <c r="H5" s="1">
        <f t="shared" ref="H5:H68" si="5">A5*(0.777+0.45)+M5*(1.5)+P5*1.11+Q5*1.11+R5*1.11</f>
        <v>0.20424000000000003</v>
      </c>
      <c r="I5" s="5"/>
      <c r="J5" s="469">
        <f t="shared" si="3"/>
        <v>1737.2331959999999</v>
      </c>
      <c r="K5" s="5"/>
      <c r="L5" s="1">
        <f t="shared" si="4"/>
        <v>4.8785999999999996E-2</v>
      </c>
      <c r="M5" s="6"/>
      <c r="N5" s="7">
        <f>ROUND(1.5*1.25/4,2)</f>
        <v>0.47</v>
      </c>
      <c r="O5" s="7">
        <f>ROUND(O4/1.5*2,2)</f>
        <v>1.73</v>
      </c>
      <c r="P5" s="7">
        <v>9.4E-2</v>
      </c>
      <c r="Q5" s="8"/>
      <c r="R5" s="7">
        <v>0.09</v>
      </c>
      <c r="S5" s="7"/>
      <c r="T5" s="7">
        <f>ROUND(T4/1.5*2,2)</f>
        <v>5.87</v>
      </c>
      <c r="U5" s="7"/>
      <c r="V5" s="7"/>
      <c r="W5" s="7">
        <v>15.42</v>
      </c>
      <c r="X5" s="8">
        <v>1</v>
      </c>
    </row>
    <row r="6" spans="1:24" ht="16.5" thickBot="1" x14ac:dyDescent="0.3">
      <c r="A6" s="4"/>
      <c r="B6" s="4"/>
      <c r="C6" s="3" t="s">
        <v>29</v>
      </c>
      <c r="D6" s="9"/>
      <c r="E6" s="1">
        <f t="shared" si="0"/>
        <v>1.8358199999999998</v>
      </c>
      <c r="F6" s="1">
        <f t="shared" si="1"/>
        <v>0.19012209999999999</v>
      </c>
      <c r="G6" s="1">
        <f t="shared" si="2"/>
        <v>1.09957375</v>
      </c>
      <c r="H6" s="1">
        <f t="shared" si="5"/>
        <v>0.20424000000000003</v>
      </c>
      <c r="I6" s="5"/>
      <c r="J6" s="469">
        <f t="shared" si="3"/>
        <v>1976.1432839999998</v>
      </c>
      <c r="K6" s="5"/>
      <c r="L6" s="1">
        <f t="shared" si="4"/>
        <v>6.1193999999999998E-2</v>
      </c>
      <c r="M6" s="6"/>
      <c r="N6" s="7">
        <f>ROUND(1.5*1.25/4,2)</f>
        <v>0.47</v>
      </c>
      <c r="O6" s="7">
        <f>ROUND(O4/1.5*2.5,2)</f>
        <v>2.17</v>
      </c>
      <c r="P6" s="7">
        <v>9.4E-2</v>
      </c>
      <c r="Q6" s="8"/>
      <c r="R6" s="7">
        <v>0.09</v>
      </c>
      <c r="S6" s="7"/>
      <c r="T6" s="7">
        <f>ROUND(T4/1.5*2.5,2)</f>
        <v>7.33</v>
      </c>
      <c r="U6" s="7"/>
      <c r="V6" s="7"/>
      <c r="W6" s="7">
        <v>15.42</v>
      </c>
      <c r="X6" s="8">
        <v>1</v>
      </c>
    </row>
    <row r="7" spans="1:24" ht="16.5" thickBot="1" x14ac:dyDescent="0.3">
      <c r="A7" s="4"/>
      <c r="B7" s="4"/>
      <c r="C7" s="3" t="s">
        <v>110</v>
      </c>
      <c r="D7" s="9"/>
      <c r="E7" s="1">
        <f t="shared" si="0"/>
        <v>0</v>
      </c>
      <c r="F7" s="1">
        <f t="shared" si="1"/>
        <v>0.43266000000000004</v>
      </c>
      <c r="G7" s="1">
        <f t="shared" si="2"/>
        <v>1.26997</v>
      </c>
      <c r="H7" s="1">
        <f t="shared" si="5"/>
        <v>1.5118200000000002</v>
      </c>
      <c r="I7" s="5"/>
      <c r="J7" s="469">
        <f t="shared" si="3"/>
        <v>1121.53963</v>
      </c>
      <c r="K7" s="5"/>
      <c r="L7" s="1">
        <f>O7*0.0282</f>
        <v>0</v>
      </c>
      <c r="M7" s="6"/>
      <c r="N7" s="7">
        <f>N11/2</f>
        <v>1.2949999999999999</v>
      </c>
      <c r="O7" s="7"/>
      <c r="P7" s="7">
        <v>0.112</v>
      </c>
      <c r="Q7" s="8"/>
      <c r="R7" s="7">
        <f>ROUND(1.58/1.45*1.15,2)</f>
        <v>1.25</v>
      </c>
      <c r="S7" s="7"/>
      <c r="T7" s="7"/>
      <c r="U7" s="7"/>
      <c r="V7" s="7"/>
      <c r="W7" s="7"/>
      <c r="X7" s="8">
        <v>1</v>
      </c>
    </row>
    <row r="8" spans="1:24" ht="16.5" thickBot="1" x14ac:dyDescent="0.3">
      <c r="A8" s="4"/>
      <c r="B8" s="4"/>
      <c r="C8" s="3" t="s">
        <v>111</v>
      </c>
      <c r="D8" s="9"/>
      <c r="E8" s="1">
        <f t="shared" si="0"/>
        <v>0</v>
      </c>
      <c r="F8" s="1">
        <f t="shared" si="1"/>
        <v>0.54156000000000004</v>
      </c>
      <c r="G8" s="1">
        <f t="shared" si="2"/>
        <v>1.5739000000000001</v>
      </c>
      <c r="H8" s="1">
        <f t="shared" si="5"/>
        <v>1.8781200000000002</v>
      </c>
      <c r="I8" s="5"/>
      <c r="J8" s="469">
        <f t="shared" si="3"/>
        <v>1311.0954299999999</v>
      </c>
      <c r="K8" s="5"/>
      <c r="L8" s="1">
        <f t="shared" si="4"/>
        <v>0</v>
      </c>
      <c r="M8" s="6"/>
      <c r="N8" s="7">
        <f>N12/2</f>
        <v>1.635</v>
      </c>
      <c r="O8" s="7"/>
      <c r="P8" s="7">
        <v>0.112</v>
      </c>
      <c r="Q8" s="8"/>
      <c r="R8" s="7">
        <v>1.58</v>
      </c>
      <c r="S8" s="7"/>
      <c r="T8" s="7"/>
      <c r="U8" s="7"/>
      <c r="V8" s="7"/>
      <c r="W8" s="7"/>
      <c r="X8" s="8">
        <v>1</v>
      </c>
    </row>
    <row r="9" spans="1:24" ht="16.5" thickBot="1" x14ac:dyDescent="0.3">
      <c r="A9" s="4"/>
      <c r="B9" s="4"/>
      <c r="C9" s="3" t="s">
        <v>112</v>
      </c>
      <c r="D9" s="9"/>
      <c r="E9" s="1">
        <f t="shared" si="0"/>
        <v>0</v>
      </c>
      <c r="F9" s="1">
        <f t="shared" si="1"/>
        <v>0.71976000000000007</v>
      </c>
      <c r="G9" s="1">
        <f t="shared" si="2"/>
        <v>2.0712400000000004</v>
      </c>
      <c r="H9" s="1">
        <f t="shared" si="5"/>
        <v>2.4775200000000002</v>
      </c>
      <c r="I9" s="5"/>
      <c r="J9" s="469">
        <f t="shared" si="3"/>
        <v>1622.25848</v>
      </c>
      <c r="K9" s="5"/>
      <c r="L9" s="1">
        <f t="shared" si="4"/>
        <v>0</v>
      </c>
      <c r="M9" s="6"/>
      <c r="N9" s="7">
        <f>N13/2</f>
        <v>2.2000000000000002</v>
      </c>
      <c r="O9" s="7"/>
      <c r="P9" s="7">
        <v>0.112</v>
      </c>
      <c r="Q9" s="8"/>
      <c r="R9" s="7">
        <f>ROUND(1.58/1.45*1.95,2)</f>
        <v>2.12</v>
      </c>
      <c r="S9" s="7"/>
      <c r="T9" s="7"/>
      <c r="U9" s="7"/>
      <c r="V9" s="7"/>
      <c r="W9" s="7"/>
      <c r="X9" s="8">
        <v>1</v>
      </c>
    </row>
    <row r="10" spans="1:24" ht="16.5" thickBot="1" x14ac:dyDescent="0.3">
      <c r="A10" s="4"/>
      <c r="B10" s="4"/>
      <c r="C10" s="3" t="s">
        <v>113</v>
      </c>
      <c r="D10" s="9"/>
      <c r="E10" s="1">
        <f t="shared" si="0"/>
        <v>0</v>
      </c>
      <c r="F10" s="1">
        <f t="shared" si="1"/>
        <v>0.90125999999999995</v>
      </c>
      <c r="G10" s="1">
        <f t="shared" si="2"/>
        <v>2.5777900000000002</v>
      </c>
      <c r="H10" s="1">
        <f t="shared" si="5"/>
        <v>3.0880200000000002</v>
      </c>
      <c r="I10" s="5"/>
      <c r="J10" s="469">
        <f t="shared" si="3"/>
        <v>1937.9955299999997</v>
      </c>
      <c r="K10" s="5"/>
      <c r="L10" s="1">
        <f t="shared" si="4"/>
        <v>0</v>
      </c>
      <c r="M10" s="6"/>
      <c r="N10" s="7">
        <f>N14/2</f>
        <v>2.7650000000000001</v>
      </c>
      <c r="O10" s="7"/>
      <c r="P10" s="7">
        <v>0.112</v>
      </c>
      <c r="Q10" s="8"/>
      <c r="R10" s="7">
        <f>ROUND(1.58/1.45*2.45,2)</f>
        <v>2.67</v>
      </c>
      <c r="S10" s="7"/>
      <c r="T10" s="7"/>
      <c r="U10" s="7"/>
      <c r="V10" s="7"/>
      <c r="W10" s="7"/>
      <c r="X10" s="8">
        <v>1</v>
      </c>
    </row>
    <row r="11" spans="1:24" ht="16.5" thickBot="1" x14ac:dyDescent="0.3">
      <c r="A11" s="4"/>
      <c r="B11" s="4"/>
      <c r="C11" s="3" t="s">
        <v>50</v>
      </c>
      <c r="D11" s="9"/>
      <c r="E11" s="1">
        <f t="shared" si="0"/>
        <v>0</v>
      </c>
      <c r="F11" s="1">
        <f t="shared" si="1"/>
        <v>0.20478000000000002</v>
      </c>
      <c r="G11" s="1">
        <f t="shared" si="2"/>
        <v>0.60275000000000001</v>
      </c>
      <c r="H11" s="1">
        <f t="shared" si="5"/>
        <v>0.71706000000000003</v>
      </c>
      <c r="I11" s="5"/>
      <c r="J11" s="469">
        <f t="shared" si="3"/>
        <v>1971.4355399999997</v>
      </c>
      <c r="K11" s="5"/>
      <c r="L11" s="1">
        <f t="shared" si="4"/>
        <v>0</v>
      </c>
      <c r="M11" s="6"/>
      <c r="N11" s="7">
        <f>ROUND(N12/1.45*1.15,2)</f>
        <v>2.59</v>
      </c>
      <c r="O11" s="7"/>
      <c r="P11" s="7">
        <f>0.112/2</f>
        <v>5.6000000000000001E-2</v>
      </c>
      <c r="Q11" s="8"/>
      <c r="R11" s="7">
        <f>ROUND(R12/1.45*1.15,2)</f>
        <v>0.59</v>
      </c>
      <c r="S11" s="7"/>
      <c r="T11" s="7"/>
      <c r="U11" s="7"/>
      <c r="V11" s="7"/>
      <c r="W11" s="7">
        <f>ROUND(W12/1.45*1.15,2)</f>
        <v>51.5</v>
      </c>
      <c r="X11" s="8">
        <v>1</v>
      </c>
    </row>
    <row r="12" spans="1:24" ht="16.5" thickBot="1" x14ac:dyDescent="0.3">
      <c r="A12" s="4"/>
      <c r="B12" s="4"/>
      <c r="C12" s="3" t="s">
        <v>47</v>
      </c>
      <c r="D12" s="9"/>
      <c r="E12" s="1">
        <f t="shared" si="0"/>
        <v>0</v>
      </c>
      <c r="F12" s="1">
        <f t="shared" si="1"/>
        <v>0.25757999999999998</v>
      </c>
      <c r="G12" s="1">
        <f t="shared" si="2"/>
        <v>0.75010999999999994</v>
      </c>
      <c r="H12" s="1">
        <f t="shared" si="5"/>
        <v>0.89466000000000001</v>
      </c>
      <c r="I12" s="5"/>
      <c r="J12" s="469">
        <f t="shared" si="3"/>
        <v>2389.7063399999997</v>
      </c>
      <c r="K12" s="5"/>
      <c r="L12" s="1">
        <f t="shared" si="4"/>
        <v>0</v>
      </c>
      <c r="M12" s="6"/>
      <c r="N12" s="23">
        <f>ROUND(9.8/3,2)</f>
        <v>3.27</v>
      </c>
      <c r="O12" s="7"/>
      <c r="P12" s="7">
        <f>0.112/2</f>
        <v>5.6000000000000001E-2</v>
      </c>
      <c r="Q12" s="8"/>
      <c r="R12" s="23">
        <v>0.75</v>
      </c>
      <c r="S12" s="23"/>
      <c r="T12" s="7"/>
      <c r="U12" s="23"/>
      <c r="V12" s="23"/>
      <c r="W12" s="23">
        <v>64.94</v>
      </c>
      <c r="X12" s="8">
        <v>1</v>
      </c>
    </row>
    <row r="13" spans="1:24" ht="16.5" thickBot="1" x14ac:dyDescent="0.3">
      <c r="A13" s="4"/>
      <c r="B13" s="4"/>
      <c r="C13" s="3" t="s">
        <v>48</v>
      </c>
      <c r="D13" s="9"/>
      <c r="E13" s="1">
        <f t="shared" si="0"/>
        <v>0</v>
      </c>
      <c r="F13" s="1">
        <f t="shared" si="1"/>
        <v>0.34338000000000002</v>
      </c>
      <c r="G13" s="1">
        <f t="shared" si="2"/>
        <v>0.98957000000000006</v>
      </c>
      <c r="H13" s="1">
        <f t="shared" si="5"/>
        <v>1.1832600000000002</v>
      </c>
      <c r="I13" s="5"/>
      <c r="J13" s="469">
        <f t="shared" si="3"/>
        <v>2636.9644399999997</v>
      </c>
      <c r="K13" s="5"/>
      <c r="L13" s="1">
        <f t="shared" si="4"/>
        <v>0</v>
      </c>
      <c r="M13" s="6"/>
      <c r="N13" s="7">
        <f>ROUND(N12/1.45*1.95,2)</f>
        <v>4.4000000000000004</v>
      </c>
      <c r="O13" s="7"/>
      <c r="P13" s="7">
        <f>0.112/2</f>
        <v>5.6000000000000001E-2</v>
      </c>
      <c r="Q13" s="8"/>
      <c r="R13" s="7">
        <f>ROUND(R12/1.45*1.95,2)</f>
        <v>1.01</v>
      </c>
      <c r="S13" s="7"/>
      <c r="T13" s="7"/>
      <c r="U13" s="7"/>
      <c r="V13" s="7"/>
      <c r="W13" s="7">
        <f>ROUND(W12/1.95*1.95,2)</f>
        <v>64.94</v>
      </c>
      <c r="X13" s="8">
        <v>1</v>
      </c>
    </row>
    <row r="14" spans="1:24" ht="16.5" thickBot="1" x14ac:dyDescent="0.3">
      <c r="A14" s="4"/>
      <c r="B14" s="4"/>
      <c r="C14" s="3" t="s">
        <v>49</v>
      </c>
      <c r="D14" s="9"/>
      <c r="E14" s="1">
        <f t="shared" si="0"/>
        <v>0</v>
      </c>
      <c r="F14" s="1">
        <f t="shared" si="1"/>
        <v>0.42918000000000001</v>
      </c>
      <c r="G14" s="1">
        <f t="shared" si="2"/>
        <v>1.2290300000000001</v>
      </c>
      <c r="H14" s="1">
        <f t="shared" si="5"/>
        <v>1.4718600000000002</v>
      </c>
      <c r="I14" s="5"/>
      <c r="J14" s="469">
        <f t="shared" si="3"/>
        <v>3216.0570400000001</v>
      </c>
      <c r="K14" s="5"/>
      <c r="L14" s="1">
        <f t="shared" si="4"/>
        <v>0</v>
      </c>
      <c r="M14" s="6"/>
      <c r="N14" s="7">
        <f>ROUND(N12/1.45*2.45,2)</f>
        <v>5.53</v>
      </c>
      <c r="O14" s="7"/>
      <c r="P14" s="7">
        <f>0.112/2</f>
        <v>5.6000000000000001E-2</v>
      </c>
      <c r="Q14" s="8"/>
      <c r="R14" s="7">
        <f>ROUND(R12/1.45*2.45,2)</f>
        <v>1.27</v>
      </c>
      <c r="S14" s="7"/>
      <c r="T14" s="7"/>
      <c r="U14" s="7"/>
      <c r="V14" s="7"/>
      <c r="W14" s="7">
        <f>ROUND(W12/1.95*2.45,2)</f>
        <v>81.59</v>
      </c>
      <c r="X14" s="8">
        <v>1</v>
      </c>
    </row>
    <row r="15" spans="1:24" ht="16.5" thickBot="1" x14ac:dyDescent="0.3">
      <c r="A15" s="4"/>
      <c r="B15" s="4"/>
      <c r="C15" s="3" t="s">
        <v>43</v>
      </c>
      <c r="D15" s="9"/>
      <c r="E15" s="1">
        <f t="shared" si="0"/>
        <v>1.6716959999999998</v>
      </c>
      <c r="F15" s="1">
        <f t="shared" si="1"/>
        <v>0.2047668</v>
      </c>
      <c r="G15" s="1">
        <f t="shared" si="2"/>
        <v>1.1293030000000002</v>
      </c>
      <c r="H15" s="1">
        <f t="shared" si="5"/>
        <v>0.38805600000000001</v>
      </c>
      <c r="I15" s="5"/>
      <c r="J15" s="469">
        <f t="shared" si="3"/>
        <v>2610.5285439999998</v>
      </c>
      <c r="K15" s="5"/>
      <c r="L15" s="1">
        <f t="shared" si="4"/>
        <v>5.5723200000000001E-2</v>
      </c>
      <c r="M15" s="6"/>
      <c r="N15" s="7">
        <f>N3*1.9</f>
        <v>0.8929999999999999</v>
      </c>
      <c r="O15" s="7">
        <f>O3*1.9</f>
        <v>1.976</v>
      </c>
      <c r="P15" s="7">
        <f>P3*1.9</f>
        <v>0.17859999999999998</v>
      </c>
      <c r="Q15" s="8"/>
      <c r="R15" s="7">
        <f>R3*1.9</f>
        <v>0.17099999999999999</v>
      </c>
      <c r="S15" s="7"/>
      <c r="T15" s="7"/>
      <c r="U15" s="7"/>
      <c r="V15" s="7"/>
      <c r="W15" s="7">
        <f>W3*1.9</f>
        <v>29.297999999999998</v>
      </c>
      <c r="X15" s="8">
        <v>2</v>
      </c>
    </row>
    <row r="16" spans="1:24" ht="16.5" thickBot="1" x14ac:dyDescent="0.3">
      <c r="A16" s="4"/>
      <c r="B16" s="4"/>
      <c r="C16" s="3" t="s">
        <v>44</v>
      </c>
      <c r="D16" s="9"/>
      <c r="E16" s="1">
        <f t="shared" si="0"/>
        <v>2.0896199999999996</v>
      </c>
      <c r="F16" s="1">
        <f t="shared" si="1"/>
        <v>0.23381399999999999</v>
      </c>
      <c r="G16" s="1">
        <f t="shared" si="2"/>
        <v>1.324927</v>
      </c>
      <c r="H16" s="1">
        <f t="shared" si="5"/>
        <v>0.38805600000000001</v>
      </c>
      <c r="I16" s="5"/>
      <c r="J16" s="469">
        <f t="shared" si="3"/>
        <v>2875.3125439999999</v>
      </c>
      <c r="K16" s="5"/>
      <c r="L16" s="1">
        <f t="shared" si="4"/>
        <v>6.9653999999999994E-2</v>
      </c>
      <c r="M16" s="6"/>
      <c r="N16" s="7">
        <f t="shared" ref="N16:P18" si="6">N4*1.9</f>
        <v>0.8929999999999999</v>
      </c>
      <c r="O16" s="7">
        <f t="shared" si="6"/>
        <v>2.4699999999999998</v>
      </c>
      <c r="P16" s="7">
        <f t="shared" si="6"/>
        <v>0.17859999999999998</v>
      </c>
      <c r="Q16" s="8"/>
      <c r="R16" s="7">
        <f>R4*1.9</f>
        <v>0.17099999999999999</v>
      </c>
      <c r="S16" s="7"/>
      <c r="T16" s="7"/>
      <c r="U16" s="7"/>
      <c r="V16" s="7"/>
      <c r="W16" s="7">
        <f>W4*1.9</f>
        <v>29.297999999999998</v>
      </c>
      <c r="X16" s="8">
        <v>2</v>
      </c>
    </row>
    <row r="17" spans="1:26" ht="16.5" thickBot="1" x14ac:dyDescent="0.3">
      <c r="A17" s="4"/>
      <c r="B17" s="4"/>
      <c r="C17" s="3" t="s">
        <v>45</v>
      </c>
      <c r="D17" s="9"/>
      <c r="E17" s="1">
        <f t="shared" si="0"/>
        <v>2.780802</v>
      </c>
      <c r="F17" s="1">
        <f t="shared" si="1"/>
        <v>0.28185359999999998</v>
      </c>
      <c r="G17" s="1">
        <f t="shared" si="2"/>
        <v>1.6484590000000001</v>
      </c>
      <c r="H17" s="1">
        <f t="shared" si="5"/>
        <v>0.38805600000000001</v>
      </c>
      <c r="I17" s="5"/>
      <c r="J17" s="469">
        <f t="shared" si="3"/>
        <v>3313.2245439999997</v>
      </c>
      <c r="K17" s="5"/>
      <c r="L17" s="1">
        <f t="shared" si="4"/>
        <v>9.2693399999999995E-2</v>
      </c>
      <c r="M17" s="6"/>
      <c r="N17" s="7">
        <f t="shared" si="6"/>
        <v>0.8929999999999999</v>
      </c>
      <c r="O17" s="7">
        <f t="shared" si="6"/>
        <v>3.2869999999999999</v>
      </c>
      <c r="P17" s="7">
        <f t="shared" si="6"/>
        <v>0.17859999999999998</v>
      </c>
      <c r="Q17" s="8"/>
      <c r="R17" s="7">
        <f>R5*1.9</f>
        <v>0.17099999999999999</v>
      </c>
      <c r="S17" s="7"/>
      <c r="T17" s="7"/>
      <c r="U17" s="7"/>
      <c r="V17" s="7"/>
      <c r="W17" s="7">
        <f>W5*1.9</f>
        <v>29.297999999999998</v>
      </c>
      <c r="X17" s="8">
        <v>2</v>
      </c>
    </row>
    <row r="18" spans="1:26" ht="16.5" thickBot="1" x14ac:dyDescent="0.3">
      <c r="A18" s="4"/>
      <c r="B18" s="4"/>
      <c r="C18" s="3" t="s">
        <v>46</v>
      </c>
      <c r="D18" s="9"/>
      <c r="E18" s="1">
        <f t="shared" si="0"/>
        <v>3.4880579999999992</v>
      </c>
      <c r="F18" s="1">
        <f t="shared" si="1"/>
        <v>0.33101039999999993</v>
      </c>
      <c r="G18" s="1">
        <f t="shared" si="2"/>
        <v>1.9795149999999999</v>
      </c>
      <c r="H18" s="1">
        <f t="shared" si="5"/>
        <v>0.38805600000000001</v>
      </c>
      <c r="I18" s="5"/>
      <c r="J18" s="469">
        <f t="shared" si="3"/>
        <v>3761.3205439999988</v>
      </c>
      <c r="K18" s="5"/>
      <c r="L18" s="1">
        <f t="shared" si="4"/>
        <v>0.11626859999999997</v>
      </c>
      <c r="M18" s="6"/>
      <c r="N18" s="7">
        <f t="shared" si="6"/>
        <v>0.8929999999999999</v>
      </c>
      <c r="O18" s="7">
        <f t="shared" si="6"/>
        <v>4.1229999999999993</v>
      </c>
      <c r="P18" s="7">
        <f t="shared" si="6"/>
        <v>0.17859999999999998</v>
      </c>
      <c r="Q18" s="8"/>
      <c r="R18" s="7">
        <f>R6*1.9</f>
        <v>0.17099999999999999</v>
      </c>
      <c r="S18" s="7"/>
      <c r="T18" s="7"/>
      <c r="U18" s="7"/>
      <c r="V18" s="7"/>
      <c r="W18" s="7">
        <f>W6*1.9</f>
        <v>29.297999999999998</v>
      </c>
      <c r="X18" s="8">
        <v>2</v>
      </c>
    </row>
    <row r="19" spans="1:26" ht="16.5" thickBot="1" x14ac:dyDescent="0.3">
      <c r="A19" s="4"/>
      <c r="B19" s="4"/>
      <c r="C19" s="3" t="s">
        <v>114</v>
      </c>
      <c r="D19" s="9"/>
      <c r="E19" s="1">
        <f t="shared" si="0"/>
        <v>0</v>
      </c>
      <c r="F19" s="1">
        <f t="shared" si="1"/>
        <v>0.82205400000000006</v>
      </c>
      <c r="G19" s="1">
        <f t="shared" si="2"/>
        <v>2.4129430000000003</v>
      </c>
      <c r="H19" s="1">
        <f t="shared" si="5"/>
        <v>2.8724580000000004</v>
      </c>
      <c r="I19" s="5"/>
      <c r="J19" s="469">
        <f t="shared" si="3"/>
        <v>2166.859297</v>
      </c>
      <c r="K19" s="5"/>
      <c r="L19" s="1">
        <f t="shared" si="4"/>
        <v>0</v>
      </c>
      <c r="M19" s="6"/>
      <c r="N19" s="7">
        <f>1.9*N7</f>
        <v>2.4604999999999997</v>
      </c>
      <c r="O19" s="7"/>
      <c r="P19" s="7">
        <f t="shared" ref="P19:P26" si="7">1.9*P7</f>
        <v>0.21279999999999999</v>
      </c>
      <c r="Q19" s="8"/>
      <c r="R19" s="7">
        <f t="shared" ref="R19:R26" si="8">1.9*R7</f>
        <v>2.375</v>
      </c>
      <c r="S19" s="7"/>
      <c r="T19" s="7"/>
      <c r="U19" s="7"/>
      <c r="V19" s="7"/>
      <c r="W19" s="7"/>
      <c r="X19" s="8">
        <v>2</v>
      </c>
    </row>
    <row r="20" spans="1:26" ht="16.5" thickBot="1" x14ac:dyDescent="0.3">
      <c r="A20" s="4"/>
      <c r="B20" s="4"/>
      <c r="C20" s="3" t="s">
        <v>115</v>
      </c>
      <c r="D20" s="9"/>
      <c r="E20" s="1">
        <f t="shared" si="0"/>
        <v>0</v>
      </c>
      <c r="F20" s="1">
        <f t="shared" si="1"/>
        <v>1.028964</v>
      </c>
      <c r="G20" s="1">
        <f t="shared" si="2"/>
        <v>2.9904099999999998</v>
      </c>
      <c r="H20" s="1">
        <f t="shared" si="5"/>
        <v>3.5684279999999999</v>
      </c>
      <c r="I20" s="5"/>
      <c r="J20" s="469">
        <f t="shared" si="3"/>
        <v>2527.0153169999999</v>
      </c>
      <c r="K20" s="5"/>
      <c r="L20" s="1">
        <f t="shared" si="4"/>
        <v>0</v>
      </c>
      <c r="M20" s="6"/>
      <c r="N20" s="7">
        <f t="shared" ref="N20:N26" si="9">1.9*N8</f>
        <v>3.1065</v>
      </c>
      <c r="O20" s="7"/>
      <c r="P20" s="7">
        <f t="shared" si="7"/>
        <v>0.21279999999999999</v>
      </c>
      <c r="Q20" s="8"/>
      <c r="R20" s="7">
        <f t="shared" si="8"/>
        <v>3.0019999999999998</v>
      </c>
      <c r="S20" s="7"/>
      <c r="T20" s="7"/>
      <c r="U20" s="7"/>
      <c r="V20" s="7"/>
      <c r="W20" s="7"/>
      <c r="X20" s="8">
        <v>2</v>
      </c>
    </row>
    <row r="21" spans="1:26" ht="16.5" thickBot="1" x14ac:dyDescent="0.3">
      <c r="A21" s="4"/>
      <c r="B21" s="4"/>
      <c r="C21" s="3" t="s">
        <v>116</v>
      </c>
      <c r="D21" s="9"/>
      <c r="E21" s="1">
        <f t="shared" si="0"/>
        <v>0</v>
      </c>
      <c r="F21" s="1">
        <f t="shared" si="1"/>
        <v>1.3675439999999999</v>
      </c>
      <c r="G21" s="1">
        <f t="shared" si="2"/>
        <v>3.9353559999999996</v>
      </c>
      <c r="H21" s="1">
        <f t="shared" si="5"/>
        <v>4.7072880000000001</v>
      </c>
      <c r="I21" s="5"/>
      <c r="J21" s="469">
        <f t="shared" si="3"/>
        <v>3118.2251119999996</v>
      </c>
      <c r="K21" s="5"/>
      <c r="L21" s="1">
        <f t="shared" si="4"/>
        <v>0</v>
      </c>
      <c r="M21" s="6"/>
      <c r="N21" s="7">
        <f t="shared" si="9"/>
        <v>4.18</v>
      </c>
      <c r="O21" s="7"/>
      <c r="P21" s="7">
        <f t="shared" si="7"/>
        <v>0.21279999999999999</v>
      </c>
      <c r="Q21" s="8"/>
      <c r="R21" s="7">
        <f t="shared" si="8"/>
        <v>4.0279999999999996</v>
      </c>
      <c r="S21" s="7"/>
      <c r="T21" s="7"/>
      <c r="U21" s="7"/>
      <c r="V21" s="7"/>
      <c r="W21" s="7"/>
      <c r="X21" s="8">
        <v>2</v>
      </c>
    </row>
    <row r="22" spans="1:26" ht="16.5" thickBot="1" x14ac:dyDescent="0.3">
      <c r="A22" s="4"/>
      <c r="B22" s="4"/>
      <c r="C22" s="3" t="s">
        <v>117</v>
      </c>
      <c r="D22" s="9"/>
      <c r="E22" s="1">
        <f t="shared" si="0"/>
        <v>0</v>
      </c>
      <c r="F22" s="1">
        <f t="shared" si="1"/>
        <v>1.7123939999999997</v>
      </c>
      <c r="G22" s="1">
        <f t="shared" si="2"/>
        <v>4.8978009999999994</v>
      </c>
      <c r="H22" s="1">
        <f t="shared" si="5"/>
        <v>5.8672380000000004</v>
      </c>
      <c r="I22" s="5"/>
      <c r="J22" s="469">
        <f t="shared" si="3"/>
        <v>3718.1255069999997</v>
      </c>
      <c r="K22" s="5"/>
      <c r="L22" s="1">
        <f t="shared" si="4"/>
        <v>0</v>
      </c>
      <c r="M22" s="6"/>
      <c r="N22" s="7">
        <f t="shared" si="9"/>
        <v>5.2534999999999998</v>
      </c>
      <c r="O22" s="7"/>
      <c r="P22" s="7">
        <f t="shared" si="7"/>
        <v>0.21279999999999999</v>
      </c>
      <c r="Q22" s="8"/>
      <c r="R22" s="7">
        <f t="shared" si="8"/>
        <v>5.0729999999999995</v>
      </c>
      <c r="S22" s="7"/>
      <c r="T22" s="7"/>
      <c r="U22" s="7"/>
      <c r="V22" s="7"/>
      <c r="W22" s="7"/>
      <c r="X22" s="8">
        <v>2</v>
      </c>
    </row>
    <row r="23" spans="1:26" ht="16.5" thickBot="1" x14ac:dyDescent="0.3">
      <c r="A23" s="4"/>
      <c r="B23" s="4"/>
      <c r="C23" s="3" t="s">
        <v>54</v>
      </c>
      <c r="D23" s="9"/>
      <c r="E23" s="1">
        <f t="shared" si="0"/>
        <v>0</v>
      </c>
      <c r="F23" s="1">
        <f t="shared" si="1"/>
        <v>0.38908200000000004</v>
      </c>
      <c r="G23" s="1">
        <f t="shared" si="2"/>
        <v>1.1452249999999999</v>
      </c>
      <c r="H23" s="1">
        <f t="shared" si="5"/>
        <v>1.362414</v>
      </c>
      <c r="I23" s="5"/>
      <c r="J23" s="469">
        <f t="shared" si="3"/>
        <v>3781.6615259999994</v>
      </c>
      <c r="K23" s="5"/>
      <c r="L23" s="1">
        <f t="shared" si="4"/>
        <v>0</v>
      </c>
      <c r="M23" s="6"/>
      <c r="N23" s="7">
        <f>1.9*N11</f>
        <v>4.9209999999999994</v>
      </c>
      <c r="O23" s="7"/>
      <c r="P23" s="7">
        <f t="shared" si="7"/>
        <v>0.10639999999999999</v>
      </c>
      <c r="Q23" s="8"/>
      <c r="R23" s="7">
        <f>1.9*R11</f>
        <v>1.121</v>
      </c>
      <c r="S23" s="7"/>
      <c r="T23" s="7"/>
      <c r="U23" s="7"/>
      <c r="V23" s="7"/>
      <c r="W23" s="7">
        <f>1.9*W11</f>
        <v>97.85</v>
      </c>
      <c r="X23" s="8">
        <v>2</v>
      </c>
    </row>
    <row r="24" spans="1:26" ht="16.5" thickBot="1" x14ac:dyDescent="0.3">
      <c r="A24" s="4"/>
      <c r="B24" s="4"/>
      <c r="C24" s="3" t="s">
        <v>51</v>
      </c>
      <c r="D24" s="9"/>
      <c r="E24" s="1">
        <f t="shared" si="0"/>
        <v>0</v>
      </c>
      <c r="F24" s="1">
        <f t="shared" si="1"/>
        <v>0.48940199999999995</v>
      </c>
      <c r="G24" s="1">
        <f t="shared" si="2"/>
        <v>1.4252089999999999</v>
      </c>
      <c r="H24" s="1">
        <f t="shared" si="5"/>
        <v>1.699854</v>
      </c>
      <c r="I24" s="5"/>
      <c r="J24" s="469">
        <f t="shared" si="3"/>
        <v>4576.3760459999994</v>
      </c>
      <c r="K24" s="5"/>
      <c r="L24" s="1">
        <f t="shared" si="4"/>
        <v>0</v>
      </c>
      <c r="M24" s="6"/>
      <c r="N24" s="7">
        <f t="shared" si="9"/>
        <v>6.2130000000000001</v>
      </c>
      <c r="O24" s="7"/>
      <c r="P24" s="7">
        <f t="shared" si="7"/>
        <v>0.10639999999999999</v>
      </c>
      <c r="Q24" s="8"/>
      <c r="R24" s="7">
        <f t="shared" si="8"/>
        <v>1.4249999999999998</v>
      </c>
      <c r="S24" s="7"/>
      <c r="T24" s="7"/>
      <c r="U24" s="7"/>
      <c r="V24" s="7"/>
      <c r="W24" s="7">
        <f>1.9*W12</f>
        <v>123.386</v>
      </c>
      <c r="X24" s="8">
        <v>2</v>
      </c>
    </row>
    <row r="25" spans="1:26" ht="16.5" thickBot="1" x14ac:dyDescent="0.3">
      <c r="A25" s="4"/>
      <c r="B25" s="4"/>
      <c r="C25" s="3" t="s">
        <v>52</v>
      </c>
      <c r="D25" s="9"/>
      <c r="E25" s="1">
        <f t="shared" si="0"/>
        <v>0</v>
      </c>
      <c r="F25" s="1">
        <f t="shared" si="1"/>
        <v>0.65242199999999995</v>
      </c>
      <c r="G25" s="1">
        <f t="shared" si="2"/>
        <v>1.8801829999999999</v>
      </c>
      <c r="H25" s="1">
        <f t="shared" si="5"/>
        <v>2.2481940000000002</v>
      </c>
      <c r="I25" s="5"/>
      <c r="J25" s="469">
        <f t="shared" si="3"/>
        <v>5046.1664359999995</v>
      </c>
      <c r="K25" s="5"/>
      <c r="L25" s="1">
        <f t="shared" si="4"/>
        <v>0</v>
      </c>
      <c r="M25" s="6"/>
      <c r="N25" s="7">
        <f t="shared" si="9"/>
        <v>8.36</v>
      </c>
      <c r="O25" s="7"/>
      <c r="P25" s="7">
        <f t="shared" si="7"/>
        <v>0.10639999999999999</v>
      </c>
      <c r="Q25" s="8"/>
      <c r="R25" s="7">
        <f t="shared" si="8"/>
        <v>1.9189999999999998</v>
      </c>
      <c r="S25" s="7"/>
      <c r="T25" s="7"/>
      <c r="U25" s="7"/>
      <c r="V25" s="7"/>
      <c r="W25" s="7">
        <f>1.9*W13</f>
        <v>123.386</v>
      </c>
      <c r="X25" s="8">
        <v>2</v>
      </c>
    </row>
    <row r="26" spans="1:26" ht="16.5" thickBot="1" x14ac:dyDescent="0.3">
      <c r="A26" s="4"/>
      <c r="B26" s="4"/>
      <c r="C26" s="3" t="s">
        <v>53</v>
      </c>
      <c r="D26" s="9"/>
      <c r="E26" s="1">
        <f t="shared" si="0"/>
        <v>0</v>
      </c>
      <c r="F26" s="1">
        <f t="shared" si="1"/>
        <v>0.81544199999999989</v>
      </c>
      <c r="G26" s="1">
        <f t="shared" si="2"/>
        <v>2.3351569999999997</v>
      </c>
      <c r="H26" s="1">
        <f t="shared" si="5"/>
        <v>2.7965340000000003</v>
      </c>
      <c r="I26" s="5"/>
      <c r="J26" s="469">
        <f t="shared" si="3"/>
        <v>6146.442376</v>
      </c>
      <c r="K26" s="5"/>
      <c r="L26" s="1">
        <f t="shared" si="4"/>
        <v>0</v>
      </c>
      <c r="M26" s="6"/>
      <c r="N26" s="7">
        <f t="shared" si="9"/>
        <v>10.507</v>
      </c>
      <c r="O26" s="7"/>
      <c r="P26" s="7">
        <f t="shared" si="7"/>
        <v>0.10639999999999999</v>
      </c>
      <c r="Q26" s="8"/>
      <c r="R26" s="7">
        <f t="shared" si="8"/>
        <v>2.4129999999999998</v>
      </c>
      <c r="S26" s="7"/>
      <c r="T26" s="7"/>
      <c r="U26" s="7"/>
      <c r="V26" s="7"/>
      <c r="W26" s="7">
        <f>1.9*W14</f>
        <v>155.02099999999999</v>
      </c>
      <c r="X26" s="8">
        <v>2</v>
      </c>
    </row>
    <row r="27" spans="1:26" s="82" customFormat="1" ht="16.5" thickBot="1" x14ac:dyDescent="0.3">
      <c r="A27" s="35"/>
      <c r="B27" s="35"/>
      <c r="C27" s="79" t="s">
        <v>41</v>
      </c>
      <c r="D27" s="80"/>
      <c r="E27" s="81">
        <f t="shared" si="0"/>
        <v>0.17055359999999997</v>
      </c>
      <c r="F27" s="81">
        <f t="shared" si="1"/>
        <v>9.9453823999999996E-2</v>
      </c>
      <c r="G27" s="81">
        <f t="shared" si="2"/>
        <v>0.3618486528</v>
      </c>
      <c r="H27" s="1">
        <f t="shared" si="5"/>
        <v>0.308576448</v>
      </c>
      <c r="I27" s="41"/>
      <c r="J27" s="469">
        <f t="shared" si="3"/>
        <v>445.86099423999985</v>
      </c>
      <c r="K27" s="41"/>
      <c r="L27" s="81">
        <f t="shared" si="4"/>
        <v>5.6851199999999992E-3</v>
      </c>
      <c r="M27" s="46"/>
      <c r="N27" s="44">
        <f>(0.88*0.88+4*0.09*0.09*0.8)/2.5</f>
        <v>0.32012799999999997</v>
      </c>
      <c r="O27" s="44">
        <f>2*(0.7+0.7)*0.8*0.09</f>
        <v>0.20159999999999997</v>
      </c>
      <c r="P27" s="44">
        <v>0.06</v>
      </c>
      <c r="Q27" s="45"/>
      <c r="R27" s="44">
        <f>3*N27*2*0.1+0.09*0.09*0.8*4</f>
        <v>0.21799679999999999</v>
      </c>
      <c r="S27" s="44"/>
      <c r="T27" s="44">
        <f>4*(0.7+0.7)/2*0.8</f>
        <v>2.2399999999999998</v>
      </c>
      <c r="U27" s="44"/>
      <c r="V27" s="44"/>
      <c r="W27" s="7">
        <f>40*R27</f>
        <v>8.7198719999999987</v>
      </c>
      <c r="X27" s="45"/>
      <c r="Y27" s="2"/>
      <c r="Z27" s="2"/>
    </row>
    <row r="28" spans="1:26" ht="16.5" thickBot="1" x14ac:dyDescent="0.3">
      <c r="A28" s="4"/>
      <c r="B28" s="4"/>
      <c r="C28" s="3" t="s">
        <v>42</v>
      </c>
      <c r="D28" s="9"/>
      <c r="E28" s="1">
        <f t="shared" si="0"/>
        <v>0.28019519999999998</v>
      </c>
      <c r="F28" s="1">
        <f t="shared" si="1"/>
        <v>0.14735024000000002</v>
      </c>
      <c r="G28" s="1">
        <f t="shared" si="2"/>
        <v>0.52819569600000005</v>
      </c>
      <c r="H28" s="1">
        <f t="shared" si="5"/>
        <v>0.43353936000000004</v>
      </c>
      <c r="I28" s="5"/>
      <c r="J28" s="469">
        <f t="shared" si="3"/>
        <v>679.67930079999996</v>
      </c>
      <c r="K28" s="5"/>
      <c r="L28" s="1">
        <f t="shared" si="4"/>
        <v>9.3398400000000003E-3</v>
      </c>
      <c r="M28" s="6"/>
      <c r="N28" s="7">
        <f>(1.1*1.1+4*0.09*0.09*1)/2.5</f>
        <v>0.49696000000000007</v>
      </c>
      <c r="O28" s="7">
        <f>2*(0.92+0.92)*1*0.09</f>
        <v>0.33119999999999999</v>
      </c>
      <c r="P28" s="7">
        <v>0.06</v>
      </c>
      <c r="Q28" s="8"/>
      <c r="R28" s="7">
        <f>3*N28*2*0.1+0.09*0.09*1*4</f>
        <v>0.33057600000000004</v>
      </c>
      <c r="S28" s="7"/>
      <c r="T28" s="7">
        <f>4*(0.92+0.92)/2*1</f>
        <v>3.68</v>
      </c>
      <c r="U28" s="7"/>
      <c r="V28" s="7"/>
      <c r="W28" s="7">
        <f t="shared" ref="W28:W31" si="10">40*R28</f>
        <v>13.223040000000001</v>
      </c>
      <c r="X28" s="8"/>
    </row>
    <row r="29" spans="1:26" ht="16.5" thickBot="1" x14ac:dyDescent="0.3">
      <c r="A29" s="4"/>
      <c r="B29" s="4"/>
      <c r="C29" s="3" t="s">
        <v>30</v>
      </c>
      <c r="D29" s="9"/>
      <c r="E29" s="1">
        <f t="shared" si="0"/>
        <v>0.6822144</v>
      </c>
      <c r="F29" s="1">
        <f t="shared" si="1"/>
        <v>0.25613760000000002</v>
      </c>
      <c r="G29" s="1">
        <f t="shared" si="2"/>
        <v>0.95694329600000005</v>
      </c>
      <c r="H29" s="1">
        <f t="shared" si="5"/>
        <v>0.70038336000000012</v>
      </c>
      <c r="I29" s="5"/>
      <c r="J29" s="469">
        <f t="shared" si="3"/>
        <v>1253.0630154666667</v>
      </c>
      <c r="K29" s="5"/>
      <c r="L29" s="1">
        <f t="shared" si="4"/>
        <v>2.274048E-2</v>
      </c>
      <c r="M29" s="6"/>
      <c r="N29" s="7">
        <f>(1.48*1.48+4*0.14*0.14*1.2)/3</f>
        <v>0.76149333333333324</v>
      </c>
      <c r="O29" s="7">
        <f>2*(1.2+1.2)*1.2*0.14</f>
        <v>0.80640000000000001</v>
      </c>
      <c r="P29" s="7">
        <v>0.08</v>
      </c>
      <c r="Q29" s="8"/>
      <c r="R29" s="7">
        <f>3*N29*2*0.1+0.14*0.14*1.2*4</f>
        <v>0.55097600000000002</v>
      </c>
      <c r="S29" s="7"/>
      <c r="T29" s="7">
        <f>4*(1.2+1.2)/2*1.2</f>
        <v>5.76</v>
      </c>
      <c r="U29" s="7"/>
      <c r="V29" s="7"/>
      <c r="W29" s="7">
        <f t="shared" si="10"/>
        <v>22.03904</v>
      </c>
      <c r="X29" s="8"/>
    </row>
    <row r="30" spans="1:26" ht="16.5" thickBot="1" x14ac:dyDescent="0.3">
      <c r="A30" s="4"/>
      <c r="B30" s="4"/>
      <c r="C30" s="3" t="s">
        <v>31</v>
      </c>
      <c r="D30" s="9"/>
      <c r="E30" s="1">
        <f t="shared" si="0"/>
        <v>0.92856959999999988</v>
      </c>
      <c r="F30" s="1">
        <f t="shared" si="1"/>
        <v>0.33109503999999995</v>
      </c>
      <c r="G30" s="1">
        <f t="shared" si="2"/>
        <v>1.2541824319999999</v>
      </c>
      <c r="H30" s="1">
        <f t="shared" si="5"/>
        <v>0.89487311999999997</v>
      </c>
      <c r="I30" s="5"/>
      <c r="J30" s="469">
        <f t="shared" si="3"/>
        <v>1631.845738933333</v>
      </c>
      <c r="K30" s="5"/>
      <c r="L30" s="1">
        <f t="shared" si="4"/>
        <v>3.0952319999999998E-2</v>
      </c>
      <c r="M30" s="6"/>
      <c r="N30" s="7">
        <f>(1.68*1.68+4*0.14*0.14*1.4)/3</f>
        <v>0.97738666666666651</v>
      </c>
      <c r="O30" s="7">
        <f>2*(1.4+1.4)*1.4*0.14</f>
        <v>1.0975999999999999</v>
      </c>
      <c r="P30" s="7">
        <v>0.11</v>
      </c>
      <c r="Q30" s="8"/>
      <c r="R30" s="7">
        <f>3*N30*2*0.1+0.14*0.14*1.4*4</f>
        <v>0.69619199999999992</v>
      </c>
      <c r="S30" s="7"/>
      <c r="T30" s="7">
        <f>4*(1.4+1.4)/2*1.4</f>
        <v>7.839999999999999</v>
      </c>
      <c r="U30" s="7"/>
      <c r="V30" s="7"/>
      <c r="W30" s="7">
        <f t="shared" si="10"/>
        <v>27.847679999999997</v>
      </c>
      <c r="X30" s="8"/>
    </row>
    <row r="31" spans="1:26" ht="16.5" thickBot="1" x14ac:dyDescent="0.3">
      <c r="A31" s="4"/>
      <c r="B31" s="4"/>
      <c r="C31" s="3" t="s">
        <v>32</v>
      </c>
      <c r="D31" s="9"/>
      <c r="E31" s="1">
        <f t="shared" si="0"/>
        <v>1.3189478400000001</v>
      </c>
      <c r="F31" s="1">
        <f t="shared" si="1"/>
        <v>0.45250179200000007</v>
      </c>
      <c r="G31" s="1">
        <f t="shared" si="2"/>
        <v>1.7334338080000002</v>
      </c>
      <c r="H31" s="1">
        <f t="shared" si="5"/>
        <v>1.2150148800000002</v>
      </c>
      <c r="I31" s="5"/>
      <c r="J31" s="469">
        <f t="shared" si="3"/>
        <v>2246.2115170666666</v>
      </c>
      <c r="K31" s="5"/>
      <c r="L31" s="1">
        <f t="shared" si="4"/>
        <v>4.3964928000000007E-2</v>
      </c>
      <c r="M31" s="6"/>
      <c r="N31" s="7">
        <f>(1.98*1.98+4*0.14*0.14*1.6)/3</f>
        <v>1.3486133333333334</v>
      </c>
      <c r="O31" s="7">
        <f>2*(1.7+1.78)*1.6*0.14</f>
        <v>1.5590400000000002</v>
      </c>
      <c r="P31" s="7">
        <v>0.16</v>
      </c>
      <c r="Q31" s="8"/>
      <c r="R31" s="7">
        <f>3*N31*2*0.1+0.14*0.14*1.6*4</f>
        <v>0.93460800000000011</v>
      </c>
      <c r="S31" s="7"/>
      <c r="T31" s="7">
        <f>4*(1.7+1.7)/2*1.6</f>
        <v>10.88</v>
      </c>
      <c r="U31" s="7"/>
      <c r="V31" s="7"/>
      <c r="W31" s="7">
        <f t="shared" si="10"/>
        <v>37.384320000000002</v>
      </c>
      <c r="X31" s="8"/>
    </row>
    <row r="32" spans="1:26" ht="16.5" thickBot="1" x14ac:dyDescent="0.3">
      <c r="A32" s="4"/>
      <c r="B32" s="4"/>
      <c r="C32" s="3" t="s">
        <v>118</v>
      </c>
      <c r="D32" s="9"/>
      <c r="E32" s="1">
        <f t="shared" si="0"/>
        <v>0</v>
      </c>
      <c r="F32" s="1">
        <f t="shared" si="1"/>
        <v>0.1320288</v>
      </c>
      <c r="G32" s="1">
        <f t="shared" si="2"/>
        <v>0.40193856</v>
      </c>
      <c r="H32" s="1">
        <f t="shared" si="5"/>
        <v>0.47436960000000006</v>
      </c>
      <c r="I32" s="5"/>
      <c r="J32" s="469">
        <f t="shared" si="3"/>
        <v>472.87069962666669</v>
      </c>
      <c r="K32" s="5"/>
      <c r="L32" s="1">
        <f t="shared" si="4"/>
        <v>0</v>
      </c>
      <c r="M32" s="6"/>
      <c r="N32" s="7">
        <f>N37/2</f>
        <v>0.94933333333333358</v>
      </c>
      <c r="O32" s="7"/>
      <c r="P32" s="7">
        <v>0.06</v>
      </c>
      <c r="Q32" s="8"/>
      <c r="R32" s="7">
        <f>(4*0.8*0.12*(0.7+0.88)/2+(0.8*0.8)*0.1)</f>
        <v>0.36736000000000002</v>
      </c>
      <c r="S32" s="7"/>
      <c r="T32" s="7"/>
      <c r="U32" s="7"/>
      <c r="V32" s="7"/>
      <c r="W32" s="7">
        <f>W27</f>
        <v>8.7198719999999987</v>
      </c>
      <c r="X32" s="8"/>
    </row>
    <row r="33" spans="1:24" ht="16.5" thickBot="1" x14ac:dyDescent="0.3">
      <c r="A33" s="4"/>
      <c r="B33" s="4"/>
      <c r="C33" s="3" t="s">
        <v>119</v>
      </c>
      <c r="D33" s="9"/>
      <c r="E33" s="1">
        <f t="shared" si="0"/>
        <v>0</v>
      </c>
      <c r="F33" s="1">
        <f t="shared" si="1"/>
        <v>0.20444730000000003</v>
      </c>
      <c r="G33" s="1">
        <f t="shared" si="2"/>
        <v>0.60405201000000008</v>
      </c>
      <c r="H33" s="1">
        <f t="shared" si="5"/>
        <v>0.71795910000000007</v>
      </c>
      <c r="I33" s="5"/>
      <c r="J33" s="469">
        <f t="shared" si="3"/>
        <v>727.42920736666667</v>
      </c>
      <c r="K33" s="5"/>
      <c r="L33" s="1">
        <f t="shared" si="4"/>
        <v>0</v>
      </c>
      <c r="M33" s="6"/>
      <c r="N33" s="7">
        <f>N38/2</f>
        <v>1.5166833333333332</v>
      </c>
      <c r="O33" s="7"/>
      <c r="P33" s="7">
        <v>0.06</v>
      </c>
      <c r="Q33" s="8"/>
      <c r="R33" s="7">
        <f>(4*1*0.12*(0.92+1.1)/2+(1.01*1.01)*0.1)</f>
        <v>0.58681000000000005</v>
      </c>
      <c r="S33" s="7"/>
      <c r="T33" s="7"/>
      <c r="U33" s="7"/>
      <c r="V33" s="7"/>
      <c r="W33" s="7">
        <f>W28</f>
        <v>13.223040000000001</v>
      </c>
      <c r="X33" s="8"/>
    </row>
    <row r="34" spans="1:24" ht="16.5" thickBot="1" x14ac:dyDescent="0.3">
      <c r="A34" s="4"/>
      <c r="B34" s="4"/>
      <c r="C34" s="3" t="s">
        <v>120</v>
      </c>
      <c r="D34" s="9"/>
      <c r="E34" s="1">
        <f t="shared" si="0"/>
        <v>0</v>
      </c>
      <c r="F34" s="1">
        <f t="shared" si="1"/>
        <v>0.38327894999999995</v>
      </c>
      <c r="G34" s="1">
        <f t="shared" si="2"/>
        <v>1.1143076149999998</v>
      </c>
      <c r="H34" s="1">
        <f t="shared" si="5"/>
        <v>1.3295746499999999</v>
      </c>
      <c r="I34" s="5"/>
      <c r="J34" s="469">
        <f t="shared" si="3"/>
        <v>1258.9916435333332</v>
      </c>
      <c r="K34" s="5"/>
      <c r="L34" s="1">
        <f t="shared" si="4"/>
        <v>0</v>
      </c>
      <c r="M34" s="6"/>
      <c r="N34" s="7">
        <f>N39/2</f>
        <v>2.4432666666666667</v>
      </c>
      <c r="O34" s="7"/>
      <c r="P34" s="7">
        <v>0.08</v>
      </c>
      <c r="Q34" s="8"/>
      <c r="R34" s="7">
        <f>(4*1.2*0.15*(1.2+1.48)/2+(1.01*1.01)*0.15)</f>
        <v>1.1178149999999998</v>
      </c>
      <c r="S34" s="7"/>
      <c r="T34" s="7"/>
      <c r="U34" s="7"/>
      <c r="V34" s="7"/>
      <c r="W34" s="7">
        <f>W29</f>
        <v>22.03904</v>
      </c>
      <c r="X34" s="8"/>
    </row>
    <row r="35" spans="1:24" ht="16.5" thickBot="1" x14ac:dyDescent="0.3">
      <c r="A35" s="4"/>
      <c r="B35" s="4"/>
      <c r="C35" s="3" t="s">
        <v>121</v>
      </c>
      <c r="D35" s="9"/>
      <c r="E35" s="1">
        <f t="shared" si="0"/>
        <v>0</v>
      </c>
      <c r="F35" s="1">
        <f t="shared" si="1"/>
        <v>0.56408220000000009</v>
      </c>
      <c r="G35" s="1">
        <f t="shared" si="2"/>
        <v>1.6356421400000001</v>
      </c>
      <c r="H35" s="1">
        <f t="shared" si="5"/>
        <v>1.9528674000000004</v>
      </c>
      <c r="I35" s="5"/>
      <c r="J35" s="469">
        <f t="shared" si="3"/>
        <v>1723.3806070666665</v>
      </c>
      <c r="K35" s="5"/>
      <c r="L35" s="1">
        <f t="shared" si="4"/>
        <v>0</v>
      </c>
      <c r="M35" s="6"/>
      <c r="N35" s="7">
        <f>N40/2</f>
        <v>3.2699333333333329</v>
      </c>
      <c r="O35" s="7"/>
      <c r="P35" s="7">
        <v>0.11</v>
      </c>
      <c r="Q35" s="8"/>
      <c r="R35" s="7">
        <f>(4*1.4*0.15*(1.4+1.68)/2+(1.54*1.54)*0.15)</f>
        <v>1.64934</v>
      </c>
      <c r="S35" s="7"/>
      <c r="T35" s="7"/>
      <c r="U35" s="7"/>
      <c r="V35" s="7"/>
      <c r="W35" s="7">
        <f>W30</f>
        <v>27.847679999999997</v>
      </c>
      <c r="X35" s="8"/>
    </row>
    <row r="36" spans="1:24" ht="16.5" thickBot="1" x14ac:dyDescent="0.3">
      <c r="A36" s="4"/>
      <c r="B36" s="4"/>
      <c r="C36" s="3" t="s">
        <v>122</v>
      </c>
      <c r="D36" s="9"/>
      <c r="E36" s="1">
        <f t="shared" si="0"/>
        <v>0</v>
      </c>
      <c r="F36" s="1">
        <f t="shared" si="1"/>
        <v>0.77929919999999997</v>
      </c>
      <c r="G36" s="1">
        <f t="shared" si="2"/>
        <v>2.26417504</v>
      </c>
      <c r="H36" s="1">
        <f t="shared" si="5"/>
        <v>2.7020064000000001</v>
      </c>
      <c r="I36" s="5"/>
      <c r="J36" s="469">
        <f t="shared" si="3"/>
        <v>2357.1571455999997</v>
      </c>
      <c r="K36" s="5"/>
      <c r="L36" s="1">
        <f t="shared" si="4"/>
        <v>0</v>
      </c>
      <c r="M36" s="6"/>
      <c r="N36" s="7">
        <f>N41/2</f>
        <v>4.4896000000000003</v>
      </c>
      <c r="O36" s="7"/>
      <c r="P36" s="7">
        <v>0.16</v>
      </c>
      <c r="Q36" s="8"/>
      <c r="R36" s="7">
        <f>(4*1.6*0.15*(1.7+1.98)/2+(1.84*1.84)*0.15)</f>
        <v>2.2742399999999998</v>
      </c>
      <c r="S36" s="7"/>
      <c r="T36" s="7"/>
      <c r="U36" s="7"/>
      <c r="V36" s="7"/>
      <c r="W36" s="7">
        <f>W31</f>
        <v>37.384320000000002</v>
      </c>
      <c r="X36" s="8"/>
    </row>
    <row r="37" spans="1:24" ht="16.5" thickBot="1" x14ac:dyDescent="0.3">
      <c r="A37" s="4"/>
      <c r="B37" s="4"/>
      <c r="C37" s="3" t="s">
        <v>123</v>
      </c>
      <c r="D37" s="9"/>
      <c r="E37" s="1">
        <f t="shared" si="0"/>
        <v>0</v>
      </c>
      <c r="F37" s="1">
        <f t="shared" si="1"/>
        <v>0.13625280000000003</v>
      </c>
      <c r="G37" s="1">
        <f t="shared" si="2"/>
        <v>0.41372736000000004</v>
      </c>
      <c r="H37" s="1">
        <f t="shared" si="5"/>
        <v>0.48857760000000011</v>
      </c>
      <c r="I37" s="5"/>
      <c r="J37" s="469">
        <f t="shared" si="3"/>
        <v>980.9584573333334</v>
      </c>
      <c r="K37" s="5"/>
      <c r="L37" s="1">
        <f t="shared" si="4"/>
        <v>0</v>
      </c>
      <c r="M37" s="6"/>
      <c r="N37" s="7">
        <f>(4*0.8*(0.7+0.88)+(0.8*0.8))/3</f>
        <v>1.8986666666666672</v>
      </c>
      <c r="O37" s="7"/>
      <c r="P37" s="7">
        <v>0.06</v>
      </c>
      <c r="Q37" s="8"/>
      <c r="R37" s="7">
        <f>(4*0.8*0.12*(0.7+0.88)/2+(0.8*0.8)*0.12)</f>
        <v>0.38016000000000005</v>
      </c>
      <c r="S37" s="7"/>
      <c r="T37" s="7"/>
      <c r="U37" s="7"/>
      <c r="V37" s="7"/>
      <c r="W37" s="7">
        <f>ROUND(R37*75,2)</f>
        <v>28.51</v>
      </c>
      <c r="X37" s="8"/>
    </row>
    <row r="38" spans="1:24" ht="16.5" thickBot="1" x14ac:dyDescent="0.3">
      <c r="A38" s="4"/>
      <c r="B38" s="4"/>
      <c r="C38" s="3" t="s">
        <v>124</v>
      </c>
      <c r="D38" s="9"/>
      <c r="E38" s="1">
        <f t="shared" si="0"/>
        <v>0</v>
      </c>
      <c r="F38" s="1">
        <f t="shared" si="1"/>
        <v>0.21117996</v>
      </c>
      <c r="G38" s="1">
        <f t="shared" si="2"/>
        <v>0.62284225199999999</v>
      </c>
      <c r="H38" s="1">
        <f t="shared" si="5"/>
        <v>0.74060532000000001</v>
      </c>
      <c r="I38" s="5"/>
      <c r="J38" s="469">
        <f t="shared" si="3"/>
        <v>1553.0878211333334</v>
      </c>
      <c r="K38" s="5"/>
      <c r="L38" s="1">
        <f t="shared" si="4"/>
        <v>0</v>
      </c>
      <c r="M38" s="6"/>
      <c r="N38" s="7">
        <f>(4*1*(0.92+1.1)+(1.01*1.01))/3</f>
        <v>3.0333666666666663</v>
      </c>
      <c r="O38" s="7"/>
      <c r="P38" s="7">
        <v>0.06</v>
      </c>
      <c r="Q38" s="8"/>
      <c r="R38" s="7">
        <f>(4*1*0.12*(0.92+1.1)/2+(1.01*1.01)*0.12)</f>
        <v>0.60721199999999997</v>
      </c>
      <c r="S38" s="7"/>
      <c r="T38" s="7"/>
      <c r="U38" s="7"/>
      <c r="V38" s="7"/>
      <c r="W38" s="7">
        <f t="shared" ref="W38" si="11">ROUND(R38*75,2)</f>
        <v>45.54</v>
      </c>
      <c r="X38" s="8"/>
    </row>
    <row r="39" spans="1:24" ht="16.5" thickBot="1" x14ac:dyDescent="0.3">
      <c r="A39" s="4"/>
      <c r="B39" s="4"/>
      <c r="C39" s="3" t="s">
        <v>125</v>
      </c>
      <c r="D39" s="9"/>
      <c r="E39" s="1">
        <f t="shared" si="0"/>
        <v>0</v>
      </c>
      <c r="F39" s="1">
        <f t="shared" si="1"/>
        <v>0.38327894999999995</v>
      </c>
      <c r="G39" s="1">
        <f t="shared" si="2"/>
        <v>1.1143076149999998</v>
      </c>
      <c r="H39" s="1">
        <f t="shared" si="5"/>
        <v>1.3295746499999999</v>
      </c>
      <c r="I39" s="5"/>
      <c r="J39" s="469">
        <f t="shared" si="3"/>
        <v>2656.7578716666667</v>
      </c>
      <c r="K39" s="5"/>
      <c r="L39" s="1">
        <f t="shared" si="4"/>
        <v>0</v>
      </c>
      <c r="M39" s="6"/>
      <c r="N39" s="7">
        <f>(4*1.2*(1.2+1.48)+(1.34*1.34))/3</f>
        <v>4.8865333333333334</v>
      </c>
      <c r="O39" s="7"/>
      <c r="P39" s="7">
        <v>0.08</v>
      </c>
      <c r="Q39" s="8"/>
      <c r="R39" s="7">
        <f>(4*1.2*0.15*(1.2+1.48)/2+(1.01*1.01)*0.15)</f>
        <v>1.1178149999999998</v>
      </c>
      <c r="S39" s="7"/>
      <c r="T39" s="7"/>
      <c r="U39" s="7"/>
      <c r="V39" s="7"/>
      <c r="W39" s="7">
        <f>ROUND(R39*70,2)</f>
        <v>78.25</v>
      </c>
      <c r="X39" s="8"/>
    </row>
    <row r="40" spans="1:24" ht="16.5" thickBot="1" x14ac:dyDescent="0.3">
      <c r="A40" s="4"/>
      <c r="B40" s="4"/>
      <c r="C40" s="3" t="s">
        <v>126</v>
      </c>
      <c r="D40" s="9"/>
      <c r="E40" s="1">
        <f t="shared" si="0"/>
        <v>0</v>
      </c>
      <c r="F40" s="1">
        <f t="shared" si="1"/>
        <v>0.56408220000000009</v>
      </c>
      <c r="G40" s="1">
        <f t="shared" si="2"/>
        <v>1.6356421400000001</v>
      </c>
      <c r="H40" s="1">
        <f t="shared" si="5"/>
        <v>1.9528674000000004</v>
      </c>
      <c r="I40" s="5"/>
      <c r="J40" s="469">
        <f t="shared" si="3"/>
        <v>3840.6611733333334</v>
      </c>
      <c r="K40" s="5"/>
      <c r="L40" s="1">
        <f t="shared" si="4"/>
        <v>0</v>
      </c>
      <c r="M40" s="6"/>
      <c r="N40" s="7">
        <f>(4*1.4*(1.4+1.68)+(1.54*1.54))/3</f>
        <v>6.5398666666666658</v>
      </c>
      <c r="O40" s="7"/>
      <c r="P40" s="7">
        <v>0.11</v>
      </c>
      <c r="Q40" s="8"/>
      <c r="R40" s="7">
        <f>(4*1.4*0.15*(1.4+1.68)/2+(1.54*1.54)*0.15)</f>
        <v>1.64934</v>
      </c>
      <c r="S40" s="7"/>
      <c r="T40" s="7"/>
      <c r="U40" s="7"/>
      <c r="V40" s="7"/>
      <c r="W40" s="7">
        <f t="shared" ref="W40:W43" si="12">ROUND(R40*70,2)</f>
        <v>115.45</v>
      </c>
      <c r="X40" s="8"/>
    </row>
    <row r="41" spans="1:24" ht="16.5" thickBot="1" x14ac:dyDescent="0.3">
      <c r="A41" s="4"/>
      <c r="B41" s="4"/>
      <c r="C41" s="3" t="s">
        <v>127</v>
      </c>
      <c r="D41" s="9"/>
      <c r="E41" s="1">
        <f t="shared" si="0"/>
        <v>0</v>
      </c>
      <c r="F41" s="1">
        <f t="shared" si="1"/>
        <v>0.77929919999999997</v>
      </c>
      <c r="G41" s="1">
        <f t="shared" si="2"/>
        <v>2.26417504</v>
      </c>
      <c r="H41" s="1">
        <f t="shared" si="5"/>
        <v>2.7020064000000001</v>
      </c>
      <c r="I41" s="5"/>
      <c r="J41" s="469">
        <f t="shared" si="3"/>
        <v>5294.8275199999998</v>
      </c>
      <c r="K41" s="5"/>
      <c r="L41" s="1">
        <f t="shared" si="4"/>
        <v>0</v>
      </c>
      <c r="M41" s="6"/>
      <c r="N41" s="7">
        <f>(4*1.6*(1.7+1.98)+(1.84*1.84))/3</f>
        <v>8.9792000000000005</v>
      </c>
      <c r="O41" s="7"/>
      <c r="P41" s="7">
        <v>0.16</v>
      </c>
      <c r="Q41" s="8"/>
      <c r="R41" s="7">
        <f>(4*1.6*0.15*(1.7+1.98)/2+(1.84*1.84)*0.15)</f>
        <v>2.2742399999999998</v>
      </c>
      <c r="S41" s="7"/>
      <c r="T41" s="7"/>
      <c r="U41" s="7"/>
      <c r="V41" s="7"/>
      <c r="W41" s="7">
        <f t="shared" si="12"/>
        <v>159.19999999999999</v>
      </c>
      <c r="X41" s="8"/>
    </row>
    <row r="42" spans="1:24" ht="16.5" thickBot="1" x14ac:dyDescent="0.3">
      <c r="A42" s="4"/>
      <c r="B42" s="4"/>
      <c r="C42" s="3" t="s">
        <v>128</v>
      </c>
      <c r="D42" s="9"/>
      <c r="E42" s="1">
        <f t="shared" si="0"/>
        <v>0</v>
      </c>
      <c r="F42" s="1">
        <f t="shared" si="1"/>
        <v>1.2096229499999998</v>
      </c>
      <c r="G42" s="1">
        <f t="shared" si="2"/>
        <v>3.5097804149999998</v>
      </c>
      <c r="H42" s="1">
        <f t="shared" si="5"/>
        <v>4.18982265</v>
      </c>
      <c r="I42" s="5"/>
      <c r="J42" s="469">
        <f t="shared" si="3"/>
        <v>7829.9574102499992</v>
      </c>
      <c r="K42" s="5"/>
      <c r="L42" s="1">
        <f t="shared" si="4"/>
        <v>0</v>
      </c>
      <c r="M42" s="6"/>
      <c r="N42" s="7">
        <f>(4*2*(2.1+2.48)+(2.29*2.29))/4</f>
        <v>10.471025000000001</v>
      </c>
      <c r="O42" s="7"/>
      <c r="P42" s="7">
        <v>0.24</v>
      </c>
      <c r="Q42" s="8"/>
      <c r="R42" s="7">
        <f>(4*2*0.15*(2.1+2.48)/2+(2.29*2.29)*0.15)</f>
        <v>3.5346149999999996</v>
      </c>
      <c r="S42" s="7"/>
      <c r="T42" s="7"/>
      <c r="U42" s="7"/>
      <c r="V42" s="7"/>
      <c r="W42" s="7">
        <f t="shared" si="12"/>
        <v>247.42</v>
      </c>
      <c r="X42" s="8"/>
    </row>
    <row r="43" spans="1:24" ht="16.5" thickBot="1" x14ac:dyDescent="0.3">
      <c r="A43" s="4"/>
      <c r="B43" s="4"/>
      <c r="C43" s="3" t="s">
        <v>129</v>
      </c>
      <c r="D43" s="9"/>
      <c r="E43" s="1">
        <f t="shared" si="0"/>
        <v>0</v>
      </c>
      <c r="F43" s="1">
        <f t="shared" si="1"/>
        <v>1.9087789500000001</v>
      </c>
      <c r="G43" s="1">
        <f t="shared" si="2"/>
        <v>5.5279776150000002</v>
      </c>
      <c r="H43" s="1">
        <f t="shared" si="5"/>
        <v>6.6020746500000005</v>
      </c>
      <c r="I43" s="5"/>
      <c r="J43" s="469">
        <f t="shared" si="3"/>
        <v>12369.133980250001</v>
      </c>
      <c r="K43" s="5"/>
      <c r="L43" s="1">
        <f t="shared" si="4"/>
        <v>0</v>
      </c>
      <c r="M43" s="6"/>
      <c r="N43" s="7">
        <f>(4*2.5*(2.7+3.08)+(2.89*2.89))/4</f>
        <v>16.538025000000001</v>
      </c>
      <c r="O43" s="7"/>
      <c r="P43" s="7">
        <v>0.36</v>
      </c>
      <c r="Q43" s="8"/>
      <c r="R43" s="7">
        <f>(4*2.5*0.15*(2.7+3.08)/2+(2.89*2.89)*0.15)</f>
        <v>5.587815</v>
      </c>
      <c r="S43" s="7"/>
      <c r="T43" s="7"/>
      <c r="U43" s="7"/>
      <c r="V43" s="7"/>
      <c r="W43" s="7">
        <f t="shared" si="12"/>
        <v>391.15</v>
      </c>
      <c r="X43" s="8"/>
    </row>
    <row r="44" spans="1:24" ht="16.5" thickBot="1" x14ac:dyDescent="0.3">
      <c r="A44" s="4"/>
      <c r="B44" s="4"/>
      <c r="C44" s="3" t="s">
        <v>56</v>
      </c>
      <c r="D44" s="9"/>
      <c r="E44" s="1">
        <f t="shared" si="0"/>
        <v>0.54144000000000003</v>
      </c>
      <c r="F44" s="1">
        <f t="shared" si="1"/>
        <v>0.35276220000000008</v>
      </c>
      <c r="G44" s="1">
        <f t="shared" si="2"/>
        <v>1.1888125000000003</v>
      </c>
      <c r="H44" s="1">
        <f t="shared" si="5"/>
        <v>1.1100000000000001</v>
      </c>
      <c r="I44" s="5">
        <v>1</v>
      </c>
      <c r="J44" s="469">
        <f t="shared" si="3"/>
        <v>2236.6139680000001</v>
      </c>
      <c r="K44" s="5">
        <v>1</v>
      </c>
      <c r="L44" s="1">
        <f t="shared" si="4"/>
        <v>1.8048000000000002E-2</v>
      </c>
      <c r="M44" s="6"/>
      <c r="N44" s="7">
        <f>ROUND((4.9+2*0.5)/5,2)</f>
        <v>1.18</v>
      </c>
      <c r="O44" s="7">
        <f>ROUND((1.285*0.5),2)</f>
        <v>0.64</v>
      </c>
      <c r="P44" s="7">
        <v>0.1</v>
      </c>
      <c r="Q44" s="8"/>
      <c r="R44" s="7">
        <f>ROUND((0.8 +0.205 *0.5),2)</f>
        <v>0.9</v>
      </c>
      <c r="S44" s="7"/>
      <c r="T44" s="7">
        <f>ROUND((0.12 *0.5),2)</f>
        <v>0.06</v>
      </c>
      <c r="U44" s="7"/>
      <c r="V44" s="7"/>
      <c r="W44" s="7">
        <f>ROUND((21.07 +8.54 *0.5),2)</f>
        <v>25.34</v>
      </c>
      <c r="X44" s="8"/>
    </row>
    <row r="45" spans="1:24" ht="16.5" thickBot="1" x14ac:dyDescent="0.3">
      <c r="A45" s="4"/>
      <c r="B45" s="4"/>
      <c r="C45" s="3" t="s">
        <v>57</v>
      </c>
      <c r="D45" s="9"/>
      <c r="E45" s="1">
        <f t="shared" si="0"/>
        <v>0.76139999999999997</v>
      </c>
      <c r="F45" s="1">
        <f t="shared" si="1"/>
        <v>0.38489359999999995</v>
      </c>
      <c r="G45" s="1">
        <f t="shared" si="2"/>
        <v>1.3499699999999999</v>
      </c>
      <c r="H45" s="1">
        <f t="shared" si="5"/>
        <v>1.1766000000000001</v>
      </c>
      <c r="I45" s="5">
        <v>1</v>
      </c>
      <c r="J45" s="469">
        <f t="shared" si="3"/>
        <v>2445.2237239999995</v>
      </c>
      <c r="K45" s="5">
        <v>1</v>
      </c>
      <c r="L45" s="1">
        <f t="shared" si="4"/>
        <v>2.538E-2</v>
      </c>
      <c r="M45" s="6"/>
      <c r="N45" s="7">
        <f>ROUND((4.9+2*0.7)/5,2)</f>
        <v>1.26</v>
      </c>
      <c r="O45" s="7">
        <f>ROUND((1.285*0.7),2)</f>
        <v>0.9</v>
      </c>
      <c r="P45" s="7">
        <v>0.12</v>
      </c>
      <c r="Q45" s="8"/>
      <c r="R45" s="7">
        <f>ROUND((0.8 +0.205 *0.7),2)</f>
        <v>0.94</v>
      </c>
      <c r="S45" s="7"/>
      <c r="T45" s="7">
        <f>ROUND((0.12 *0.7),2)</f>
        <v>0.08</v>
      </c>
      <c r="U45" s="7"/>
      <c r="V45" s="7"/>
      <c r="W45" s="7">
        <f>ROUND((21.07 +8.54 *0.7),2)</f>
        <v>27.05</v>
      </c>
      <c r="X45" s="8"/>
    </row>
    <row r="46" spans="1:24" ht="16.5" thickBot="1" x14ac:dyDescent="0.3">
      <c r="A46" s="4"/>
      <c r="B46" s="4"/>
      <c r="C46" s="3" t="s">
        <v>58</v>
      </c>
      <c r="D46" s="9"/>
      <c r="E46" s="1">
        <f t="shared" si="0"/>
        <v>1.09134</v>
      </c>
      <c r="F46" s="1">
        <f t="shared" si="1"/>
        <v>0.43281240000000004</v>
      </c>
      <c r="G46" s="1">
        <f t="shared" si="2"/>
        <v>1.5797950000000001</v>
      </c>
      <c r="H46" s="1">
        <f t="shared" si="5"/>
        <v>1.2654000000000003</v>
      </c>
      <c r="I46" s="5">
        <v>1</v>
      </c>
      <c r="J46" s="469">
        <f t="shared" si="3"/>
        <v>2754.8879360000001</v>
      </c>
      <c r="K46" s="5">
        <v>1</v>
      </c>
      <c r="L46" s="1">
        <f t="shared" si="4"/>
        <v>3.6378000000000001E-2</v>
      </c>
      <c r="M46" s="6"/>
      <c r="N46" s="7">
        <f>ROUND((4.9+2*1)/5,2)</f>
        <v>1.38</v>
      </c>
      <c r="O46" s="7">
        <f>ROUND((1.285*1),2)</f>
        <v>1.29</v>
      </c>
      <c r="P46" s="7">
        <v>0.13</v>
      </c>
      <c r="Q46" s="8">
        <f>(Q45+Q47)/2</f>
        <v>0</v>
      </c>
      <c r="R46" s="7">
        <f>ROUND((0.8 +0.205 *1),2)</f>
        <v>1.01</v>
      </c>
      <c r="S46" s="7"/>
      <c r="T46" s="7">
        <f>ROUND((0.12 *1),2)</f>
        <v>0.12</v>
      </c>
      <c r="U46" s="7"/>
      <c r="V46" s="7"/>
      <c r="W46" s="7">
        <f>ROUND((21.07 +8.54 *1),2)</f>
        <v>29.61</v>
      </c>
      <c r="X46" s="8"/>
    </row>
    <row r="47" spans="1:24" ht="16.5" thickBot="1" x14ac:dyDescent="0.3">
      <c r="A47" s="4"/>
      <c r="B47" s="4"/>
      <c r="C47" s="3" t="s">
        <v>59</v>
      </c>
      <c r="D47" s="9"/>
      <c r="E47" s="1">
        <f t="shared" si="0"/>
        <v>1.30284</v>
      </c>
      <c r="F47" s="1">
        <f t="shared" si="1"/>
        <v>0.46255580000000002</v>
      </c>
      <c r="G47" s="1">
        <f t="shared" si="2"/>
        <v>1.7263925000000002</v>
      </c>
      <c r="H47" s="1">
        <f t="shared" si="5"/>
        <v>1.3209000000000002</v>
      </c>
      <c r="I47" s="5">
        <v>1</v>
      </c>
      <c r="J47" s="469">
        <f t="shared" si="3"/>
        <v>2954.2647919999999</v>
      </c>
      <c r="K47" s="5">
        <v>1</v>
      </c>
      <c r="L47" s="1">
        <f t="shared" si="4"/>
        <v>4.3428000000000001E-2</v>
      </c>
      <c r="M47" s="6"/>
      <c r="N47" s="7">
        <f>ROUND((4.9+2*1.2)/5,2)</f>
        <v>1.46</v>
      </c>
      <c r="O47" s="7">
        <f>ROUND((1.285*1.2),2)</f>
        <v>1.54</v>
      </c>
      <c r="P47" s="7">
        <v>0.14000000000000001</v>
      </c>
      <c r="Q47" s="8"/>
      <c r="R47" s="7">
        <f>ROUND((0.8 +0.205 *1.2),2)</f>
        <v>1.05</v>
      </c>
      <c r="S47" s="7"/>
      <c r="T47" s="7">
        <f>ROUND((0.12 *1.2),2)</f>
        <v>0.14000000000000001</v>
      </c>
      <c r="U47" s="7"/>
      <c r="V47" s="7"/>
      <c r="W47" s="7">
        <f>ROUND((21.07 +8.54 *1.2),2)</f>
        <v>31.32</v>
      </c>
      <c r="X47" s="8"/>
    </row>
    <row r="48" spans="1:24" ht="16.5" thickBot="1" x14ac:dyDescent="0.3">
      <c r="A48" s="4"/>
      <c r="B48" s="4"/>
      <c r="C48" s="3" t="s">
        <v>60</v>
      </c>
      <c r="D48" s="9"/>
      <c r="E48" s="1">
        <f t="shared" si="0"/>
        <v>1.6327799999999999</v>
      </c>
      <c r="F48" s="1">
        <f t="shared" si="1"/>
        <v>0.50537460000000012</v>
      </c>
      <c r="G48" s="1">
        <f t="shared" si="2"/>
        <v>1.9364075000000001</v>
      </c>
      <c r="H48" s="1">
        <f t="shared" si="5"/>
        <v>1.3875000000000002</v>
      </c>
      <c r="I48" s="5">
        <v>1</v>
      </c>
      <c r="J48" s="469">
        <f t="shared" si="3"/>
        <v>3255.4821039999997</v>
      </c>
      <c r="K48" s="5">
        <v>1</v>
      </c>
      <c r="L48" s="1">
        <f t="shared" si="4"/>
        <v>5.4425999999999995E-2</v>
      </c>
      <c r="M48" s="6"/>
      <c r="N48" s="7">
        <f>ROUND((4.9+2*1.5)/5,2)</f>
        <v>1.58</v>
      </c>
      <c r="O48" s="7">
        <f>ROUND((1.285*1.5),2)</f>
        <v>1.93</v>
      </c>
      <c r="P48" s="7">
        <v>0.14000000000000001</v>
      </c>
      <c r="Q48" s="8"/>
      <c r="R48" s="7">
        <f>ROUND((0.8 +0.205 *1.5),2)</f>
        <v>1.1100000000000001</v>
      </c>
      <c r="S48" s="7"/>
      <c r="T48" s="7">
        <f>ROUND((0.12 *1.5),2)</f>
        <v>0.18</v>
      </c>
      <c r="U48" s="7"/>
      <c r="V48" s="7"/>
      <c r="W48" s="7">
        <f>ROUND((21.07 +8.54 *1.5),2)</f>
        <v>33.880000000000003</v>
      </c>
      <c r="X48" s="8"/>
    </row>
    <row r="49" spans="1:24" ht="16.5" thickBot="1" x14ac:dyDescent="0.3">
      <c r="A49" s="4"/>
      <c r="B49" s="4"/>
      <c r="C49" s="3" t="s">
        <v>61</v>
      </c>
      <c r="D49" s="9"/>
      <c r="E49" s="1">
        <f t="shared" si="0"/>
        <v>0</v>
      </c>
      <c r="F49" s="1">
        <f t="shared" si="1"/>
        <v>0.38250000000000006</v>
      </c>
      <c r="G49" s="1">
        <f t="shared" si="2"/>
        <v>1.1483800000000002</v>
      </c>
      <c r="H49" s="1">
        <f t="shared" si="5"/>
        <v>1.35975</v>
      </c>
      <c r="I49" s="5">
        <v>1</v>
      </c>
      <c r="J49" s="469">
        <f t="shared" si="3"/>
        <v>1476.2567999999999</v>
      </c>
      <c r="K49" s="5">
        <v>1</v>
      </c>
      <c r="L49" s="1">
        <f t="shared" si="4"/>
        <v>0</v>
      </c>
      <c r="M49" s="6"/>
      <c r="N49" s="7">
        <f>N54/2</f>
        <v>1.075</v>
      </c>
      <c r="O49" s="7"/>
      <c r="P49" s="7">
        <f>P54</f>
        <v>0.14499999999999999</v>
      </c>
      <c r="Q49" s="8"/>
      <c r="R49" s="7">
        <f>R54</f>
        <v>1.08</v>
      </c>
      <c r="S49" s="7"/>
      <c r="T49" s="7"/>
      <c r="U49" s="7"/>
      <c r="V49" s="7"/>
      <c r="W49" s="7"/>
      <c r="X49" s="8"/>
    </row>
    <row r="50" spans="1:24" ht="16.5" thickBot="1" x14ac:dyDescent="0.3">
      <c r="A50" s="4"/>
      <c r="B50" s="4"/>
      <c r="C50" s="3" t="s">
        <v>62</v>
      </c>
      <c r="D50" s="9"/>
      <c r="E50" s="1">
        <f t="shared" si="0"/>
        <v>0</v>
      </c>
      <c r="F50" s="1">
        <f t="shared" si="1"/>
        <v>0.43200000000000005</v>
      </c>
      <c r="G50" s="1">
        <f t="shared" si="2"/>
        <v>1.28653</v>
      </c>
      <c r="H50" s="1">
        <f t="shared" si="5"/>
        <v>1.5262500000000001</v>
      </c>
      <c r="I50" s="5">
        <v>1</v>
      </c>
      <c r="J50" s="469">
        <f t="shared" si="3"/>
        <v>1573.2592999999999</v>
      </c>
      <c r="K50" s="5">
        <v>1</v>
      </c>
      <c r="L50" s="1">
        <f t="shared" si="4"/>
        <v>0</v>
      </c>
      <c r="M50" s="6"/>
      <c r="N50" s="7">
        <f>N55/2</f>
        <v>1.325</v>
      </c>
      <c r="O50" s="7"/>
      <c r="P50" s="7">
        <f>P55</f>
        <v>0.14499999999999999</v>
      </c>
      <c r="Q50" s="8"/>
      <c r="R50" s="7">
        <f>R55</f>
        <v>1.23</v>
      </c>
      <c r="S50" s="7"/>
      <c r="T50" s="7"/>
      <c r="U50" s="7"/>
      <c r="V50" s="7"/>
      <c r="W50" s="7"/>
      <c r="X50" s="8"/>
    </row>
    <row r="51" spans="1:24" ht="16.5" thickBot="1" x14ac:dyDescent="0.3">
      <c r="A51" s="4"/>
      <c r="B51" s="4"/>
      <c r="C51" s="3" t="s">
        <v>63</v>
      </c>
      <c r="D51" s="9"/>
      <c r="E51" s="1">
        <f t="shared" si="0"/>
        <v>0</v>
      </c>
      <c r="F51" s="1">
        <f t="shared" si="1"/>
        <v>0.50459999999999994</v>
      </c>
      <c r="G51" s="1">
        <f t="shared" si="2"/>
        <v>1.48915</v>
      </c>
      <c r="H51" s="1">
        <f t="shared" si="5"/>
        <v>1.7704500000000001</v>
      </c>
      <c r="I51" s="5">
        <v>1</v>
      </c>
      <c r="J51" s="469">
        <f t="shared" si="3"/>
        <v>1716.47605</v>
      </c>
      <c r="K51" s="5">
        <v>1</v>
      </c>
      <c r="L51" s="1">
        <f t="shared" si="4"/>
        <v>0</v>
      </c>
      <c r="M51" s="6"/>
      <c r="N51" s="7">
        <f>N56/2</f>
        <v>1.7</v>
      </c>
      <c r="O51" s="7">
        <f>(O50+O52)/2</f>
        <v>0</v>
      </c>
      <c r="P51" s="7">
        <f>P56</f>
        <v>0.14499999999999999</v>
      </c>
      <c r="Q51" s="8">
        <f>(Q50+Q52)/2</f>
        <v>0</v>
      </c>
      <c r="R51" s="7">
        <f>R56</f>
        <v>1.45</v>
      </c>
      <c r="S51" s="7"/>
      <c r="T51" s="7">
        <f>(T50+T52)/2</f>
        <v>0</v>
      </c>
      <c r="U51" s="7"/>
      <c r="V51" s="7"/>
      <c r="W51" s="7"/>
      <c r="X51" s="8"/>
    </row>
    <row r="52" spans="1:24" ht="16.5" thickBot="1" x14ac:dyDescent="0.3">
      <c r="A52" s="4"/>
      <c r="B52" s="4"/>
      <c r="C52" s="3" t="s">
        <v>64</v>
      </c>
      <c r="D52" s="9"/>
      <c r="E52" s="1">
        <f t="shared" si="0"/>
        <v>0</v>
      </c>
      <c r="F52" s="1">
        <f t="shared" si="1"/>
        <v>0.6411</v>
      </c>
      <c r="G52" s="1">
        <f t="shared" si="2"/>
        <v>1.8840500000000002</v>
      </c>
      <c r="H52" s="1">
        <f t="shared" si="5"/>
        <v>2.2422</v>
      </c>
      <c r="I52" s="5">
        <v>1</v>
      </c>
      <c r="J52" s="469">
        <f t="shared" si="3"/>
        <v>1931.8323</v>
      </c>
      <c r="K52" s="5">
        <v>1</v>
      </c>
      <c r="L52" s="1">
        <f t="shared" si="4"/>
        <v>0</v>
      </c>
      <c r="M52" s="6"/>
      <c r="N52" s="7">
        <f>N57/2</f>
        <v>1.9</v>
      </c>
      <c r="O52" s="7"/>
      <c r="P52" s="7">
        <f>P57</f>
        <v>0.17</v>
      </c>
      <c r="Q52" s="8"/>
      <c r="R52" s="7">
        <f>R57</f>
        <v>1.85</v>
      </c>
      <c r="S52" s="7"/>
      <c r="T52" s="7"/>
      <c r="U52" s="7"/>
      <c r="V52" s="7"/>
      <c r="W52" s="7"/>
      <c r="X52" s="8"/>
    </row>
    <row r="53" spans="1:24" ht="16.5" thickBot="1" x14ac:dyDescent="0.3">
      <c r="A53" s="4"/>
      <c r="B53" s="4"/>
      <c r="C53" s="3" t="s">
        <v>65</v>
      </c>
      <c r="D53" s="9"/>
      <c r="E53" s="1">
        <f t="shared" si="0"/>
        <v>0</v>
      </c>
      <c r="F53" s="1">
        <f t="shared" si="1"/>
        <v>0.80657999999999996</v>
      </c>
      <c r="G53" s="1">
        <f t="shared" si="2"/>
        <v>2.3575999999999997</v>
      </c>
      <c r="H53" s="1">
        <f t="shared" si="5"/>
        <v>2.8094099999999997</v>
      </c>
      <c r="I53" s="5">
        <v>1</v>
      </c>
      <c r="J53" s="469">
        <f t="shared" si="3"/>
        <v>2185.6696899999997</v>
      </c>
      <c r="K53" s="5">
        <v>1</v>
      </c>
      <c r="L53" s="1">
        <f t="shared" si="4"/>
        <v>0</v>
      </c>
      <c r="M53" s="6"/>
      <c r="N53" s="7">
        <f>N58/2</f>
        <v>2.09</v>
      </c>
      <c r="O53" s="7"/>
      <c r="P53" s="7">
        <f>P58</f>
        <v>0.191</v>
      </c>
      <c r="Q53" s="8"/>
      <c r="R53" s="7">
        <f>R58</f>
        <v>2.34</v>
      </c>
      <c r="S53" s="7"/>
      <c r="T53" s="7"/>
      <c r="U53" s="7"/>
      <c r="V53" s="7"/>
      <c r="W53" s="7"/>
      <c r="X53" s="8"/>
    </row>
    <row r="54" spans="1:24" ht="16.5" thickBot="1" x14ac:dyDescent="0.3">
      <c r="A54" s="4"/>
      <c r="B54" s="4"/>
      <c r="C54" s="3" t="s">
        <v>66</v>
      </c>
      <c r="D54" s="9"/>
      <c r="E54" s="1">
        <f t="shared" si="0"/>
        <v>0</v>
      </c>
      <c r="F54" s="1">
        <f t="shared" si="1"/>
        <v>0.38250000000000006</v>
      </c>
      <c r="G54" s="1">
        <f t="shared" si="2"/>
        <v>1.1483800000000002</v>
      </c>
      <c r="H54" s="1">
        <f t="shared" si="5"/>
        <v>1.35975</v>
      </c>
      <c r="I54" s="5">
        <v>1</v>
      </c>
      <c r="J54" s="469">
        <f t="shared" si="3"/>
        <v>3263.2568899999997</v>
      </c>
      <c r="K54" s="5">
        <v>1</v>
      </c>
      <c r="L54" s="1">
        <f t="shared" si="4"/>
        <v>0</v>
      </c>
      <c r="M54" s="6"/>
      <c r="N54" s="7">
        <f>ROUND((3.59+10*0.5)/4,2)</f>
        <v>2.15</v>
      </c>
      <c r="O54" s="7"/>
      <c r="P54" s="7">
        <v>0.14499999999999999</v>
      </c>
      <c r="Q54" s="8"/>
      <c r="R54" s="7">
        <f>ROUND((0.704 +0.75 *0.5),2)</f>
        <v>1.08</v>
      </c>
      <c r="S54" s="7"/>
      <c r="T54" s="7"/>
      <c r="U54" s="7"/>
      <c r="V54" s="7"/>
      <c r="W54" s="7">
        <f t="shared" ref="W54:W60" si="13">R54*77.35</f>
        <v>83.537999999999997</v>
      </c>
      <c r="X54" s="8"/>
    </row>
    <row r="55" spans="1:24" ht="16.5" thickBot="1" x14ac:dyDescent="0.3">
      <c r="A55" s="4"/>
      <c r="B55" s="4"/>
      <c r="C55" s="3" t="s">
        <v>67</v>
      </c>
      <c r="D55" s="9"/>
      <c r="E55" s="1">
        <f t="shared" si="0"/>
        <v>0</v>
      </c>
      <c r="F55" s="1">
        <f t="shared" si="1"/>
        <v>0.43200000000000005</v>
      </c>
      <c r="G55" s="1">
        <f t="shared" si="2"/>
        <v>1.28653</v>
      </c>
      <c r="H55" s="1">
        <f t="shared" si="5"/>
        <v>1.5262500000000001</v>
      </c>
      <c r="I55" s="5">
        <v>1</v>
      </c>
      <c r="J55" s="469">
        <f t="shared" si="3"/>
        <v>3619.8897149999993</v>
      </c>
      <c r="K55" s="5">
        <v>1</v>
      </c>
      <c r="L55" s="1">
        <f t="shared" si="4"/>
        <v>0</v>
      </c>
      <c r="M55" s="6"/>
      <c r="N55" s="7">
        <f>ROUND((3.59+10*0.7)/4,2)</f>
        <v>2.65</v>
      </c>
      <c r="O55" s="7"/>
      <c r="P55" s="7">
        <v>0.14499999999999999</v>
      </c>
      <c r="Q55" s="8"/>
      <c r="R55" s="7">
        <f>ROUND((0.704 +0.75 *0.7),2)</f>
        <v>1.23</v>
      </c>
      <c r="S55" s="7"/>
      <c r="T55" s="7"/>
      <c r="U55" s="7"/>
      <c r="V55" s="7"/>
      <c r="W55" s="7">
        <f t="shared" si="13"/>
        <v>95.140499999999989</v>
      </c>
      <c r="X55" s="8"/>
    </row>
    <row r="56" spans="1:24" ht="16.5" thickBot="1" x14ac:dyDescent="0.3">
      <c r="A56" s="4"/>
      <c r="B56" s="4"/>
      <c r="C56" s="3" t="s">
        <v>68</v>
      </c>
      <c r="D56" s="9"/>
      <c r="E56" s="1">
        <f t="shared" si="0"/>
        <v>0</v>
      </c>
      <c r="F56" s="1">
        <f t="shared" si="1"/>
        <v>0.50459999999999994</v>
      </c>
      <c r="G56" s="1">
        <f t="shared" si="2"/>
        <v>1.48915</v>
      </c>
      <c r="H56" s="1">
        <f t="shared" si="5"/>
        <v>1.7704500000000001</v>
      </c>
      <c r="I56" s="5">
        <v>1</v>
      </c>
      <c r="J56" s="469">
        <f t="shared" si="3"/>
        <v>4144.8440249999994</v>
      </c>
      <c r="K56" s="5">
        <v>1</v>
      </c>
      <c r="L56" s="1">
        <f t="shared" si="4"/>
        <v>0</v>
      </c>
      <c r="M56" s="6"/>
      <c r="N56" s="7">
        <f>ROUND((3.59+10*1)/4,2)</f>
        <v>3.4</v>
      </c>
      <c r="O56" s="7">
        <f>(O55+O57)/2</f>
        <v>0</v>
      </c>
      <c r="P56" s="7">
        <v>0.14499999999999999</v>
      </c>
      <c r="Q56" s="8">
        <f>(Q55+Q57)/2</f>
        <v>0</v>
      </c>
      <c r="R56" s="7">
        <f>ROUND((0.704 +0.75 *1),2)</f>
        <v>1.45</v>
      </c>
      <c r="S56" s="7"/>
      <c r="T56" s="7"/>
      <c r="U56" s="7"/>
      <c r="V56" s="7"/>
      <c r="W56" s="7">
        <f t="shared" si="13"/>
        <v>112.15749999999998</v>
      </c>
      <c r="X56" s="8"/>
    </row>
    <row r="57" spans="1:24" ht="16.5" thickBot="1" x14ac:dyDescent="0.3">
      <c r="A57" s="4"/>
      <c r="B57" s="4"/>
      <c r="C57" s="3" t="s">
        <v>69</v>
      </c>
      <c r="D57" s="9"/>
      <c r="E57" s="1">
        <f t="shared" si="0"/>
        <v>0</v>
      </c>
      <c r="F57" s="1">
        <f t="shared" si="1"/>
        <v>0.6411</v>
      </c>
      <c r="G57" s="1">
        <f t="shared" si="2"/>
        <v>1.8840500000000002</v>
      </c>
      <c r="H57" s="1">
        <f t="shared" si="5"/>
        <v>2.2422</v>
      </c>
      <c r="I57" s="5">
        <v>1</v>
      </c>
      <c r="J57" s="469">
        <f t="shared" si="3"/>
        <v>4999.5484749999987</v>
      </c>
      <c r="K57" s="5">
        <v>1</v>
      </c>
      <c r="L57" s="1">
        <f t="shared" si="4"/>
        <v>0</v>
      </c>
      <c r="M57" s="6"/>
      <c r="N57" s="7">
        <f>ROUND((4+11.2*1)/4,2)</f>
        <v>3.8</v>
      </c>
      <c r="O57" s="7"/>
      <c r="P57" s="7">
        <v>0.17</v>
      </c>
      <c r="Q57" s="8"/>
      <c r="R57" s="7">
        <f>ROUND((0.843 +0.84*1.2),2)</f>
        <v>1.85</v>
      </c>
      <c r="S57" s="7"/>
      <c r="T57" s="7"/>
      <c r="U57" s="7"/>
      <c r="V57" s="7"/>
      <c r="W57" s="7">
        <f t="shared" si="13"/>
        <v>143.0975</v>
      </c>
      <c r="X57" s="8"/>
    </row>
    <row r="58" spans="1:24" ht="16.5" thickBot="1" x14ac:dyDescent="0.3">
      <c r="A58" s="4"/>
      <c r="B58" s="4"/>
      <c r="C58" s="3" t="s">
        <v>70</v>
      </c>
      <c r="D58" s="9"/>
      <c r="E58" s="1">
        <f t="shared" si="0"/>
        <v>0</v>
      </c>
      <c r="F58" s="1">
        <f t="shared" si="1"/>
        <v>0.80657999999999996</v>
      </c>
      <c r="G58" s="1">
        <f t="shared" si="2"/>
        <v>2.3575999999999997</v>
      </c>
      <c r="H58" s="1">
        <f t="shared" si="5"/>
        <v>2.8094099999999997</v>
      </c>
      <c r="I58" s="5">
        <v>1</v>
      </c>
      <c r="J58" s="469">
        <f t="shared" si="3"/>
        <v>6030.3410599999979</v>
      </c>
      <c r="K58" s="5">
        <v>1</v>
      </c>
      <c r="L58" s="1">
        <f t="shared" si="4"/>
        <v>0</v>
      </c>
      <c r="M58" s="6"/>
      <c r="N58" s="7">
        <f>ROUND((4.53+12.2*1)/4,2)</f>
        <v>4.18</v>
      </c>
      <c r="O58" s="7"/>
      <c r="P58" s="7">
        <v>0.191</v>
      </c>
      <c r="Q58" s="8"/>
      <c r="R58" s="7">
        <f>ROUND((0.968 +0.915 *1.5),2)</f>
        <v>2.34</v>
      </c>
      <c r="S58" s="7"/>
      <c r="T58" s="7"/>
      <c r="U58" s="7"/>
      <c r="V58" s="7"/>
      <c r="W58" s="7">
        <f t="shared" si="13"/>
        <v>180.99899999999997</v>
      </c>
      <c r="X58" s="8"/>
    </row>
    <row r="59" spans="1:24" ht="16.5" thickBot="1" x14ac:dyDescent="0.3">
      <c r="A59" s="4"/>
      <c r="B59" s="4"/>
      <c r="C59" s="3" t="s">
        <v>71</v>
      </c>
      <c r="D59" s="9"/>
      <c r="E59" s="1">
        <f t="shared" si="0"/>
        <v>0</v>
      </c>
      <c r="F59" s="1">
        <f t="shared" si="1"/>
        <v>0.89753699999999992</v>
      </c>
      <c r="G59" s="1">
        <f t="shared" si="2"/>
        <v>2.6274289999999998</v>
      </c>
      <c r="H59" s="1">
        <f t="shared" si="5"/>
        <v>3.1298114999999997</v>
      </c>
      <c r="I59" s="5">
        <v>1</v>
      </c>
      <c r="J59" s="469">
        <f t="shared" si="3"/>
        <v>6613.9201040555536</v>
      </c>
      <c r="K59" s="5">
        <v>1</v>
      </c>
      <c r="L59" s="1">
        <f t="shared" si="4"/>
        <v>0</v>
      </c>
      <c r="M59" s="6"/>
      <c r="N59" s="7">
        <f>N58/1.8*2</f>
        <v>4.6444444444444439</v>
      </c>
      <c r="O59" s="7"/>
      <c r="P59" s="7">
        <f>P58*1.15</f>
        <v>0.21964999999999998</v>
      </c>
      <c r="Q59" s="8"/>
      <c r="R59" s="7">
        <f>R58/1.8*2</f>
        <v>2.5999999999999996</v>
      </c>
      <c r="S59" s="7"/>
      <c r="T59" s="7"/>
      <c r="U59" s="7"/>
      <c r="V59" s="7"/>
      <c r="W59" s="7">
        <f t="shared" si="13"/>
        <v>201.10999999999996</v>
      </c>
      <c r="X59" s="8"/>
    </row>
    <row r="60" spans="1:24" ht="16.5" thickBot="1" x14ac:dyDescent="0.3">
      <c r="A60" s="4"/>
      <c r="B60" s="4"/>
      <c r="C60" s="3" t="s">
        <v>72</v>
      </c>
      <c r="D60" s="9"/>
      <c r="E60" s="1">
        <f t="shared" si="0"/>
        <v>0</v>
      </c>
      <c r="F60" s="1">
        <f t="shared" si="1"/>
        <v>1.1179675499999999</v>
      </c>
      <c r="G60" s="1">
        <f t="shared" si="2"/>
        <v>3.2610033499999997</v>
      </c>
      <c r="H60" s="1">
        <f t="shared" si="5"/>
        <v>3.8878832249999999</v>
      </c>
      <c r="I60" s="5">
        <v>1</v>
      </c>
      <c r="J60" s="469">
        <f t="shared" si="3"/>
        <v>8057.8883052194424</v>
      </c>
      <c r="K60" s="5">
        <v>1</v>
      </c>
      <c r="L60" s="1">
        <f t="shared" si="4"/>
        <v>0</v>
      </c>
      <c r="M60" s="6"/>
      <c r="N60" s="7">
        <f>N59/2*2.5</f>
        <v>5.8055555555555554</v>
      </c>
      <c r="O60" s="7"/>
      <c r="P60" s="7">
        <f>P59*1.15</f>
        <v>0.25259749999999997</v>
      </c>
      <c r="Q60" s="8"/>
      <c r="R60" s="7">
        <f>R59/2*2.5</f>
        <v>3.2499999999999996</v>
      </c>
      <c r="S60" s="7"/>
      <c r="T60" s="7"/>
      <c r="U60" s="7"/>
      <c r="V60" s="7"/>
      <c r="W60" s="7">
        <f t="shared" si="13"/>
        <v>251.38749999999996</v>
      </c>
      <c r="X60" s="8"/>
    </row>
    <row r="61" spans="1:24" ht="16.5" thickBot="1" x14ac:dyDescent="0.3">
      <c r="A61" s="4"/>
      <c r="B61" s="4"/>
      <c r="C61" s="3" t="s">
        <v>130</v>
      </c>
      <c r="D61" s="9"/>
      <c r="E61" s="1">
        <f t="shared" si="0"/>
        <v>0</v>
      </c>
      <c r="F61" s="1">
        <f t="shared" si="1"/>
        <v>0.11253000000000002</v>
      </c>
      <c r="G61" s="1">
        <f t="shared" si="2"/>
        <v>0.31406100000000003</v>
      </c>
      <c r="H61" s="1">
        <f t="shared" si="5"/>
        <v>0.37851000000000007</v>
      </c>
      <c r="I61" s="5"/>
      <c r="J61" s="469">
        <f t="shared" si="3"/>
        <v>938.21280000000002</v>
      </c>
      <c r="K61" s="5"/>
      <c r="L61" s="1">
        <f t="shared" si="4"/>
        <v>0</v>
      </c>
      <c r="M61" s="6"/>
      <c r="N61" s="7">
        <f>2+1.56+0.72</f>
        <v>4.28</v>
      </c>
      <c r="O61" s="7"/>
      <c r="P61" s="7"/>
      <c r="Q61" s="8"/>
      <c r="R61" s="7">
        <f>0.1+0.16+0.081</f>
        <v>0.34100000000000003</v>
      </c>
      <c r="S61" s="7"/>
      <c r="T61" s="7"/>
      <c r="U61" s="7"/>
      <c r="V61" s="7"/>
      <c r="W61" s="7">
        <f>1.32+4.11+4.74+1.69+3</f>
        <v>14.860000000000001</v>
      </c>
      <c r="X61" s="8"/>
    </row>
    <row r="62" spans="1:24" ht="16.5" thickBot="1" x14ac:dyDescent="0.3">
      <c r="A62" s="4"/>
      <c r="B62" s="4"/>
      <c r="C62" s="3" t="s">
        <v>131</v>
      </c>
      <c r="D62" s="9"/>
      <c r="E62" s="1">
        <f t="shared" si="0"/>
        <v>0</v>
      </c>
      <c r="F62" s="1">
        <f t="shared" si="1"/>
        <v>0.12243000000000002</v>
      </c>
      <c r="G62" s="1">
        <f t="shared" si="2"/>
        <v>0.34169100000000008</v>
      </c>
      <c r="H62" s="1">
        <f t="shared" si="5"/>
        <v>0.41181000000000012</v>
      </c>
      <c r="I62" s="5"/>
      <c r="J62" s="469">
        <f t="shared" si="3"/>
        <v>1044.6030999999998</v>
      </c>
      <c r="K62" s="5"/>
      <c r="L62" s="1">
        <f t="shared" si="4"/>
        <v>0</v>
      </c>
      <c r="M62" s="6"/>
      <c r="N62" s="7">
        <f>2+1.76+0.72</f>
        <v>4.4799999999999995</v>
      </c>
      <c r="O62" s="7"/>
      <c r="P62" s="7"/>
      <c r="Q62" s="8"/>
      <c r="R62" s="7">
        <f>0.1+0.19+0.081</f>
        <v>0.37100000000000005</v>
      </c>
      <c r="S62" s="7"/>
      <c r="T62" s="7"/>
      <c r="U62" s="7"/>
      <c r="V62" s="7"/>
      <c r="W62" s="7">
        <f>1.32+4.11+7.42+2.52+3</f>
        <v>18.37</v>
      </c>
      <c r="X62" s="8"/>
    </row>
    <row r="63" spans="1:24" ht="16.5" thickBot="1" x14ac:dyDescent="0.3">
      <c r="A63" s="4"/>
      <c r="B63" s="4"/>
      <c r="C63" s="3" t="s">
        <v>132</v>
      </c>
      <c r="D63" s="9"/>
      <c r="E63" s="1">
        <f t="shared" si="0"/>
        <v>0</v>
      </c>
      <c r="F63" s="1">
        <f t="shared" si="1"/>
        <v>0.13233</v>
      </c>
      <c r="G63" s="1">
        <f t="shared" si="2"/>
        <v>0.36932100000000001</v>
      </c>
      <c r="H63" s="1">
        <f t="shared" si="5"/>
        <v>0.44511000000000006</v>
      </c>
      <c r="I63" s="5"/>
      <c r="J63" s="469">
        <f t="shared" si="3"/>
        <v>1169.5282999999999</v>
      </c>
      <c r="K63" s="5"/>
      <c r="L63" s="1">
        <f t="shared" si="4"/>
        <v>0</v>
      </c>
      <c r="M63" s="6"/>
      <c r="N63" s="7">
        <f>2+1.96+0.72</f>
        <v>4.68</v>
      </c>
      <c r="O63" s="7"/>
      <c r="P63" s="7"/>
      <c r="Q63" s="8"/>
      <c r="R63" s="7">
        <f>0.1+0.22+0.081</f>
        <v>0.40100000000000002</v>
      </c>
      <c r="S63" s="7"/>
      <c r="T63" s="7"/>
      <c r="U63" s="7"/>
      <c r="V63" s="7"/>
      <c r="W63" s="7">
        <f>1.32+4.11+10.23+3.15+4</f>
        <v>22.81</v>
      </c>
      <c r="X63" s="8"/>
    </row>
    <row r="64" spans="1:24" ht="16.5" thickBot="1" x14ac:dyDescent="0.3">
      <c r="A64" s="4"/>
      <c r="B64" s="4"/>
      <c r="C64" s="3" t="s">
        <v>133</v>
      </c>
      <c r="D64" s="9"/>
      <c r="E64" s="1">
        <f t="shared" si="0"/>
        <v>0</v>
      </c>
      <c r="F64" s="1">
        <f t="shared" si="1"/>
        <v>0.38417000000000001</v>
      </c>
      <c r="G64" s="1">
        <f t="shared" si="2"/>
        <v>1.55436</v>
      </c>
      <c r="H64" s="1">
        <f t="shared" si="5"/>
        <v>2.9078100000000004</v>
      </c>
      <c r="I64" s="5"/>
      <c r="J64" s="469">
        <f t="shared" si="3"/>
        <v>1021.1634700000001</v>
      </c>
      <c r="K64" s="5"/>
      <c r="L64" s="1">
        <f t="shared" si="4"/>
        <v>0</v>
      </c>
      <c r="M64" s="6">
        <v>1.22</v>
      </c>
      <c r="N64" s="7">
        <f>7.413/3</f>
        <v>2.4710000000000001</v>
      </c>
      <c r="O64" s="7"/>
      <c r="P64" s="7"/>
      <c r="Q64" s="8">
        <v>0.97099999999999997</v>
      </c>
      <c r="R64" s="7"/>
      <c r="S64" s="7"/>
      <c r="T64" s="7"/>
      <c r="U64" s="7"/>
      <c r="V64" s="7"/>
      <c r="W64" s="7"/>
      <c r="X64" s="8"/>
    </row>
    <row r="65" spans="1:24" ht="16.5" thickBot="1" x14ac:dyDescent="0.3">
      <c r="A65" s="4"/>
      <c r="B65" s="4"/>
      <c r="C65" s="3" t="s">
        <v>134</v>
      </c>
      <c r="D65" s="9"/>
      <c r="E65" s="1">
        <f t="shared" si="0"/>
        <v>0</v>
      </c>
      <c r="F65" s="1">
        <f t="shared" si="1"/>
        <v>0.47295000000000004</v>
      </c>
      <c r="G65" s="1">
        <f t="shared" si="2"/>
        <v>1.9178999999999999</v>
      </c>
      <c r="H65" s="1">
        <f t="shared" si="5"/>
        <v>3.6103500000000004</v>
      </c>
      <c r="I65" s="5"/>
      <c r="J65" s="469">
        <f t="shared" si="3"/>
        <v>1223.2039333333335</v>
      </c>
      <c r="K65" s="5"/>
      <c r="L65" s="1">
        <f t="shared" si="4"/>
        <v>0</v>
      </c>
      <c r="M65" s="6">
        <v>1.53</v>
      </c>
      <c r="N65" s="7">
        <f>8.15/3</f>
        <v>2.7166666666666668</v>
      </c>
      <c r="O65" s="7"/>
      <c r="P65" s="7"/>
      <c r="Q65" s="8">
        <v>1.1850000000000001</v>
      </c>
      <c r="R65" s="7"/>
      <c r="S65" s="7"/>
      <c r="T65" s="7"/>
      <c r="U65" s="7"/>
      <c r="V65" s="7"/>
      <c r="W65" s="7"/>
      <c r="X65" s="8"/>
    </row>
    <row r="66" spans="1:24" ht="16.5" thickBot="1" x14ac:dyDescent="0.3">
      <c r="A66" s="4"/>
      <c r="B66" s="4"/>
      <c r="C66" s="3" t="s">
        <v>135</v>
      </c>
      <c r="D66" s="9"/>
      <c r="E66" s="1">
        <f t="shared" si="0"/>
        <v>0</v>
      </c>
      <c r="F66" s="1">
        <f t="shared" si="1"/>
        <v>0.75196000000000007</v>
      </c>
      <c r="G66" s="1">
        <f t="shared" si="2"/>
        <v>3.0643799999999999</v>
      </c>
      <c r="H66" s="1">
        <f t="shared" si="5"/>
        <v>5.8462800000000001</v>
      </c>
      <c r="I66" s="5"/>
      <c r="J66" s="469">
        <f t="shared" si="3"/>
        <v>1882.6414999999997</v>
      </c>
      <c r="K66" s="5"/>
      <c r="L66" s="1">
        <f t="shared" si="4"/>
        <v>0</v>
      </c>
      <c r="M66" s="6">
        <v>2.5299999999999998</v>
      </c>
      <c r="N66" s="7">
        <f>11.04/3</f>
        <v>3.6799999999999997</v>
      </c>
      <c r="O66" s="7"/>
      <c r="P66" s="7"/>
      <c r="Q66" s="8">
        <v>1.8480000000000001</v>
      </c>
      <c r="R66" s="7"/>
      <c r="S66" s="7"/>
      <c r="T66" s="7"/>
      <c r="U66" s="7"/>
      <c r="V66" s="7"/>
      <c r="W66" s="7"/>
      <c r="X66" s="8"/>
    </row>
    <row r="67" spans="1:24" ht="16.5" thickBot="1" x14ac:dyDescent="0.3">
      <c r="A67" s="4"/>
      <c r="B67" s="4"/>
      <c r="C67" s="3" t="s">
        <v>73</v>
      </c>
      <c r="D67" s="9"/>
      <c r="E67" s="1">
        <f t="shared" si="0"/>
        <v>0</v>
      </c>
      <c r="F67" s="1">
        <f t="shared" si="1"/>
        <v>1.08901</v>
      </c>
      <c r="G67" s="1">
        <f t="shared" si="2"/>
        <v>4.4434800000000001</v>
      </c>
      <c r="H67" s="1">
        <f t="shared" si="5"/>
        <v>8.5059300000000011</v>
      </c>
      <c r="I67" s="5"/>
      <c r="J67" s="469">
        <f t="shared" si="3"/>
        <v>2656.9669666666668</v>
      </c>
      <c r="K67" s="5"/>
      <c r="L67" s="1">
        <f t="shared" si="4"/>
        <v>0</v>
      </c>
      <c r="M67" s="6">
        <v>3.7</v>
      </c>
      <c r="N67" s="7">
        <f>14.05/3</f>
        <v>4.6833333333333336</v>
      </c>
      <c r="O67" s="7"/>
      <c r="P67" s="7"/>
      <c r="Q67" s="8">
        <v>2.6629999999999998</v>
      </c>
      <c r="R67" s="7"/>
      <c r="S67" s="7"/>
      <c r="T67" s="7"/>
      <c r="U67" s="7"/>
      <c r="V67" s="7"/>
      <c r="W67" s="7"/>
      <c r="X67" s="8"/>
    </row>
    <row r="68" spans="1:24" ht="16.5" thickBot="1" x14ac:dyDescent="0.3">
      <c r="A68" s="4"/>
      <c r="B68" s="4"/>
      <c r="C68" s="3" t="s">
        <v>74</v>
      </c>
      <c r="D68" s="9"/>
      <c r="E68" s="1">
        <f t="shared" ref="E68:E82" si="14">O68*0.846</f>
        <v>0</v>
      </c>
      <c r="F68" s="1">
        <f t="shared" ref="F68:F82" si="15">A68*0.231+M68*0.1+O68*0.0588+P68*0.18+Q68*0.27+R68*0.33+T68*0.005*0.434</f>
        <v>1.4740100000000003</v>
      </c>
      <c r="G68" s="1">
        <f t="shared" ref="G68:G82" si="16">A68*0.6447+M68*0.51+O68*0.396+P68*1.06+Q68*0.96+R68*0.921+T68*0.005*1.575</f>
        <v>6.0316799999999997</v>
      </c>
      <c r="H68" s="1">
        <f t="shared" si="5"/>
        <v>11.634930000000001</v>
      </c>
      <c r="I68" s="5"/>
      <c r="J68" s="469">
        <f t="shared" ref="J68:J82" si="17">A68*345.22+M68*265.87+N68*113.57+O68*536+P68*387.29+Q68*428.6+R68*457.4+S68*464.24+T68*420.56*0.005+U68*26.13+V68*17.82+W68*19.93+X68*359.34+K68*436.99+I68*367.03</f>
        <v>3551.6050000000005</v>
      </c>
      <c r="K68" s="5"/>
      <c r="L68" s="1">
        <f t="shared" ref="L68:L82" si="18">O68*0.0282</f>
        <v>0</v>
      </c>
      <c r="M68" s="6">
        <v>5.12</v>
      </c>
      <c r="N68" s="7">
        <f>17.52/3</f>
        <v>5.84</v>
      </c>
      <c r="O68" s="7"/>
      <c r="P68" s="7"/>
      <c r="Q68" s="8">
        <v>3.5630000000000002</v>
      </c>
      <c r="R68" s="7"/>
      <c r="S68" s="7"/>
      <c r="T68" s="7"/>
      <c r="U68" s="7"/>
      <c r="V68" s="7"/>
      <c r="W68" s="7"/>
      <c r="X68" s="8"/>
    </row>
    <row r="69" spans="1:24" ht="16.5" thickBot="1" x14ac:dyDescent="0.3">
      <c r="A69" s="4"/>
      <c r="B69" s="4"/>
      <c r="C69" s="3" t="s">
        <v>75</v>
      </c>
      <c r="D69" s="9"/>
      <c r="E69" s="1">
        <f t="shared" si="14"/>
        <v>0</v>
      </c>
      <c r="F69" s="1">
        <f t="shared" si="15"/>
        <v>2.41967</v>
      </c>
      <c r="G69" s="1">
        <f t="shared" si="16"/>
        <v>9.9546600000000005</v>
      </c>
      <c r="H69" s="1">
        <f t="shared" ref="H69" si="19">A69*(0.777+0.45)+M69*(1.5)+P69*1.11+Q69*1.11+R69*1.11</f>
        <v>19.47531</v>
      </c>
      <c r="I69" s="5"/>
      <c r="J69" s="469">
        <f t="shared" si="17"/>
        <v>5668.0147666666671</v>
      </c>
      <c r="K69" s="5"/>
      <c r="L69" s="1">
        <f t="shared" si="18"/>
        <v>0</v>
      </c>
      <c r="M69" s="6">
        <v>8.75</v>
      </c>
      <c r="N69" s="7">
        <f>23.5/3</f>
        <v>7.833333333333333</v>
      </c>
      <c r="O69" s="7"/>
      <c r="P69" s="7"/>
      <c r="Q69" s="8">
        <v>5.7210000000000001</v>
      </c>
      <c r="R69" s="7"/>
      <c r="S69" s="7"/>
      <c r="T69" s="7"/>
      <c r="U69" s="7"/>
      <c r="V69" s="7"/>
      <c r="W69" s="7"/>
      <c r="X69" s="8"/>
    </row>
    <row r="70" spans="1:24" ht="16.5" thickBot="1" x14ac:dyDescent="0.3">
      <c r="A70" s="35"/>
      <c r="B70" s="35"/>
      <c r="C70" s="40" t="s">
        <v>136</v>
      </c>
      <c r="D70" s="36"/>
      <c r="E70" s="1">
        <f t="shared" si="14"/>
        <v>0</v>
      </c>
      <c r="F70" s="1">
        <f t="shared" si="15"/>
        <v>0</v>
      </c>
      <c r="G70" s="1">
        <f t="shared" si="16"/>
        <v>0</v>
      </c>
      <c r="H70" s="1">
        <f t="shared" ref="H70:H82" si="20">A70*(0.777+0.45)+M70*(0.777+0.45)+P70*1.11+Q70*1.11+R70*1.11</f>
        <v>0</v>
      </c>
      <c r="I70" s="37"/>
      <c r="J70" s="469">
        <f t="shared" si="17"/>
        <v>0</v>
      </c>
      <c r="K70" s="41"/>
      <c r="L70" s="1">
        <f t="shared" si="18"/>
        <v>0</v>
      </c>
      <c r="M70" s="42"/>
      <c r="N70" s="42"/>
      <c r="O70" s="43"/>
      <c r="P70" s="44"/>
      <c r="Q70" s="45"/>
      <c r="R70" s="42"/>
      <c r="S70" s="42"/>
      <c r="T70" s="42"/>
      <c r="U70" s="42"/>
      <c r="V70" s="42"/>
      <c r="W70" s="42"/>
      <c r="X70" s="45"/>
    </row>
    <row r="71" spans="1:24" ht="16.5" thickBot="1" x14ac:dyDescent="0.3">
      <c r="A71" s="35"/>
      <c r="B71" s="35"/>
      <c r="C71" s="40" t="s">
        <v>137</v>
      </c>
      <c r="D71" s="36"/>
      <c r="E71" s="1">
        <f t="shared" si="14"/>
        <v>0</v>
      </c>
      <c r="F71" s="1">
        <f t="shared" si="15"/>
        <v>0</v>
      </c>
      <c r="G71" s="1">
        <f t="shared" si="16"/>
        <v>0</v>
      </c>
      <c r="H71" s="1">
        <f t="shared" si="20"/>
        <v>0</v>
      </c>
      <c r="I71" s="37"/>
      <c r="J71" s="469">
        <f t="shared" si="17"/>
        <v>0</v>
      </c>
      <c r="K71" s="41"/>
      <c r="L71" s="1">
        <f t="shared" si="18"/>
        <v>0</v>
      </c>
      <c r="M71" s="42"/>
      <c r="N71" s="42"/>
      <c r="O71" s="43"/>
      <c r="P71" s="44"/>
      <c r="Q71" s="45"/>
      <c r="R71" s="42"/>
      <c r="S71" s="42"/>
      <c r="T71" s="42"/>
      <c r="U71" s="42"/>
      <c r="V71" s="42"/>
      <c r="W71" s="42"/>
      <c r="X71" s="45"/>
    </row>
    <row r="72" spans="1:24" ht="16.5" thickBot="1" x14ac:dyDescent="0.3">
      <c r="A72" s="35"/>
      <c r="B72" s="35"/>
      <c r="C72" s="40" t="s">
        <v>138</v>
      </c>
      <c r="D72" s="36"/>
      <c r="E72" s="1">
        <f t="shared" si="14"/>
        <v>0</v>
      </c>
      <c r="F72" s="1">
        <f t="shared" si="15"/>
        <v>0</v>
      </c>
      <c r="G72" s="1">
        <f t="shared" si="16"/>
        <v>0</v>
      </c>
      <c r="H72" s="1">
        <f t="shared" si="20"/>
        <v>0</v>
      </c>
      <c r="I72" s="37"/>
      <c r="J72" s="469">
        <f t="shared" si="17"/>
        <v>0</v>
      </c>
      <c r="K72" s="41"/>
      <c r="L72" s="1">
        <f t="shared" si="18"/>
        <v>0</v>
      </c>
      <c r="M72" s="42"/>
      <c r="N72" s="42"/>
      <c r="O72" s="43"/>
      <c r="P72" s="44"/>
      <c r="Q72" s="45"/>
      <c r="R72" s="42"/>
      <c r="S72" s="42"/>
      <c r="T72" s="42"/>
      <c r="U72" s="42"/>
      <c r="V72" s="42"/>
      <c r="W72" s="42"/>
      <c r="X72" s="45"/>
    </row>
    <row r="73" spans="1:24" ht="16.5" thickBot="1" x14ac:dyDescent="0.3">
      <c r="A73" s="35"/>
      <c r="B73" s="35"/>
      <c r="C73" s="40" t="s">
        <v>139</v>
      </c>
      <c r="D73" s="36"/>
      <c r="E73" s="1">
        <f t="shared" si="14"/>
        <v>0</v>
      </c>
      <c r="F73" s="1">
        <f t="shared" si="15"/>
        <v>0</v>
      </c>
      <c r="G73" s="1">
        <f t="shared" si="16"/>
        <v>0</v>
      </c>
      <c r="H73" s="1">
        <f t="shared" si="20"/>
        <v>0</v>
      </c>
      <c r="I73" s="37"/>
      <c r="J73" s="469">
        <f t="shared" si="17"/>
        <v>0</v>
      </c>
      <c r="K73" s="41"/>
      <c r="L73" s="1">
        <f t="shared" si="18"/>
        <v>0</v>
      </c>
      <c r="M73" s="42"/>
      <c r="N73" s="42"/>
      <c r="O73" s="43"/>
      <c r="P73" s="44"/>
      <c r="Q73" s="45"/>
      <c r="R73" s="42"/>
      <c r="S73" s="42"/>
      <c r="T73" s="42"/>
      <c r="U73" s="42"/>
      <c r="V73" s="42"/>
      <c r="W73" s="42"/>
      <c r="X73" s="45"/>
    </row>
    <row r="74" spans="1:24" ht="16.5" thickBot="1" x14ac:dyDescent="0.3">
      <c r="A74" s="35"/>
      <c r="B74" s="35"/>
      <c r="C74" s="40" t="s">
        <v>140</v>
      </c>
      <c r="D74" s="36"/>
      <c r="E74" s="1">
        <f t="shared" si="14"/>
        <v>0</v>
      </c>
      <c r="F74" s="1">
        <f t="shared" si="15"/>
        <v>0</v>
      </c>
      <c r="G74" s="1">
        <f t="shared" si="16"/>
        <v>0</v>
      </c>
      <c r="H74" s="1">
        <f t="shared" si="20"/>
        <v>0</v>
      </c>
      <c r="I74" s="37"/>
      <c r="J74" s="469">
        <f t="shared" si="17"/>
        <v>0</v>
      </c>
      <c r="K74" s="41"/>
      <c r="L74" s="1">
        <f t="shared" si="18"/>
        <v>0</v>
      </c>
      <c r="M74" s="42"/>
      <c r="N74" s="42"/>
      <c r="O74" s="43"/>
      <c r="P74" s="44"/>
      <c r="Q74" s="45"/>
      <c r="R74" s="42"/>
      <c r="S74" s="42"/>
      <c r="T74" s="42"/>
      <c r="U74" s="42"/>
      <c r="V74" s="42"/>
      <c r="W74" s="42"/>
      <c r="X74" s="45"/>
    </row>
    <row r="75" spans="1:24" ht="16.5" thickBot="1" x14ac:dyDescent="0.3">
      <c r="A75" s="35"/>
      <c r="B75" s="35"/>
      <c r="C75" s="40" t="s">
        <v>141</v>
      </c>
      <c r="D75" s="36"/>
      <c r="E75" s="1">
        <f t="shared" si="14"/>
        <v>0</v>
      </c>
      <c r="F75" s="1">
        <f t="shared" si="15"/>
        <v>0</v>
      </c>
      <c r="G75" s="1">
        <f t="shared" si="16"/>
        <v>0</v>
      </c>
      <c r="H75" s="1">
        <f t="shared" si="20"/>
        <v>0</v>
      </c>
      <c r="I75" s="37"/>
      <c r="J75" s="469">
        <f t="shared" si="17"/>
        <v>0</v>
      </c>
      <c r="K75" s="41"/>
      <c r="L75" s="1">
        <f t="shared" si="18"/>
        <v>0</v>
      </c>
      <c r="M75" s="42"/>
      <c r="N75" s="42"/>
      <c r="O75" s="43"/>
      <c r="P75" s="44"/>
      <c r="Q75" s="45"/>
      <c r="R75" s="42"/>
      <c r="S75" s="42"/>
      <c r="T75" s="42"/>
      <c r="U75" s="42"/>
      <c r="V75" s="42"/>
      <c r="W75" s="42"/>
      <c r="X75" s="45"/>
    </row>
    <row r="76" spans="1:24" ht="16.5" thickBot="1" x14ac:dyDescent="0.3">
      <c r="A76" s="35"/>
      <c r="B76" s="35"/>
      <c r="C76" s="40" t="s">
        <v>142</v>
      </c>
      <c r="D76" s="36"/>
      <c r="E76" s="1">
        <f t="shared" si="14"/>
        <v>0</v>
      </c>
      <c r="F76" s="1">
        <f t="shared" si="15"/>
        <v>0</v>
      </c>
      <c r="G76" s="1">
        <f t="shared" si="16"/>
        <v>0</v>
      </c>
      <c r="H76" s="1">
        <f t="shared" si="20"/>
        <v>0</v>
      </c>
      <c r="I76" s="37"/>
      <c r="J76" s="469">
        <f t="shared" si="17"/>
        <v>0</v>
      </c>
      <c r="K76" s="41"/>
      <c r="L76" s="1">
        <f t="shared" si="18"/>
        <v>0</v>
      </c>
      <c r="M76" s="42"/>
      <c r="N76" s="42"/>
      <c r="O76" s="43"/>
      <c r="P76" s="44"/>
      <c r="Q76" s="45"/>
      <c r="R76" s="42"/>
      <c r="S76" s="42"/>
      <c r="T76" s="42"/>
      <c r="U76" s="42"/>
      <c r="V76" s="42"/>
      <c r="W76" s="42"/>
      <c r="X76" s="45"/>
    </row>
    <row r="77" spans="1:24" ht="16.5" thickBot="1" x14ac:dyDescent="0.3">
      <c r="A77" s="35"/>
      <c r="B77" s="35"/>
      <c r="C77" s="40" t="s">
        <v>143</v>
      </c>
      <c r="D77" s="36"/>
      <c r="E77" s="1">
        <f t="shared" si="14"/>
        <v>0</v>
      </c>
      <c r="F77" s="1">
        <f t="shared" si="15"/>
        <v>0</v>
      </c>
      <c r="G77" s="1">
        <f t="shared" si="16"/>
        <v>0</v>
      </c>
      <c r="H77" s="1">
        <f t="shared" si="20"/>
        <v>0</v>
      </c>
      <c r="I77" s="37"/>
      <c r="J77" s="469">
        <f t="shared" si="17"/>
        <v>0</v>
      </c>
      <c r="K77" s="41"/>
      <c r="L77" s="1">
        <f t="shared" si="18"/>
        <v>0</v>
      </c>
      <c r="M77" s="42"/>
      <c r="N77" s="42"/>
      <c r="O77" s="43"/>
      <c r="P77" s="44"/>
      <c r="Q77" s="45"/>
      <c r="R77" s="42"/>
      <c r="S77" s="42"/>
      <c r="T77" s="42"/>
      <c r="U77" s="42"/>
      <c r="V77" s="42"/>
      <c r="W77" s="42"/>
      <c r="X77" s="45"/>
    </row>
    <row r="78" spans="1:24" ht="16.5" thickBot="1" x14ac:dyDescent="0.3">
      <c r="A78" s="35"/>
      <c r="B78" s="35"/>
      <c r="C78" s="40" t="s">
        <v>144</v>
      </c>
      <c r="D78" s="36"/>
      <c r="E78" s="1">
        <f t="shared" si="14"/>
        <v>0</v>
      </c>
      <c r="F78" s="1">
        <f t="shared" si="15"/>
        <v>0</v>
      </c>
      <c r="G78" s="1">
        <f t="shared" si="16"/>
        <v>0</v>
      </c>
      <c r="H78" s="1">
        <f t="shared" si="20"/>
        <v>0</v>
      </c>
      <c r="I78" s="37"/>
      <c r="J78" s="469">
        <f t="shared" si="17"/>
        <v>0</v>
      </c>
      <c r="K78" s="41"/>
      <c r="L78" s="1">
        <f t="shared" si="18"/>
        <v>0</v>
      </c>
      <c r="M78" s="42"/>
      <c r="N78" s="42"/>
      <c r="O78" s="43"/>
      <c r="P78" s="44"/>
      <c r="Q78" s="45"/>
      <c r="R78" s="42"/>
      <c r="S78" s="42"/>
      <c r="T78" s="42"/>
      <c r="U78" s="42"/>
      <c r="V78" s="42"/>
      <c r="W78" s="42"/>
      <c r="X78" s="45"/>
    </row>
    <row r="79" spans="1:24" ht="16.5" thickBot="1" x14ac:dyDescent="0.3">
      <c r="A79" s="35"/>
      <c r="B79" s="35"/>
      <c r="C79" s="40" t="s">
        <v>145</v>
      </c>
      <c r="D79" s="36"/>
      <c r="E79" s="1">
        <f t="shared" si="14"/>
        <v>0</v>
      </c>
      <c r="F79" s="1">
        <f t="shared" si="15"/>
        <v>0</v>
      </c>
      <c r="G79" s="1">
        <f t="shared" si="16"/>
        <v>0</v>
      </c>
      <c r="H79" s="1">
        <f t="shared" si="20"/>
        <v>0</v>
      </c>
      <c r="I79" s="37"/>
      <c r="J79" s="469">
        <f t="shared" si="17"/>
        <v>0</v>
      </c>
      <c r="K79" s="41"/>
      <c r="L79" s="1">
        <f t="shared" si="18"/>
        <v>0</v>
      </c>
      <c r="M79" s="42"/>
      <c r="N79" s="42"/>
      <c r="O79" s="43"/>
      <c r="P79" s="44"/>
      <c r="Q79" s="45"/>
      <c r="R79" s="42"/>
      <c r="S79" s="42"/>
      <c r="T79" s="42"/>
      <c r="U79" s="42"/>
      <c r="V79" s="42"/>
      <c r="W79" s="42"/>
      <c r="X79" s="45"/>
    </row>
    <row r="80" spans="1:24" ht="15" customHeight="1" thickBot="1" x14ac:dyDescent="0.3">
      <c r="A80" s="35"/>
      <c r="B80" s="35"/>
      <c r="C80" s="40"/>
      <c r="D80" s="24"/>
      <c r="E80" s="1">
        <f t="shared" si="14"/>
        <v>0</v>
      </c>
      <c r="F80" s="1">
        <f t="shared" si="15"/>
        <v>0</v>
      </c>
      <c r="G80" s="1">
        <f t="shared" si="16"/>
        <v>0</v>
      </c>
      <c r="H80" s="1">
        <f t="shared" si="20"/>
        <v>0</v>
      </c>
      <c r="I80" s="37"/>
      <c r="J80" s="469">
        <f t="shared" si="17"/>
        <v>0</v>
      </c>
      <c r="K80" s="41"/>
      <c r="L80" s="1">
        <f t="shared" si="18"/>
        <v>0</v>
      </c>
      <c r="M80" s="42"/>
      <c r="N80" s="46"/>
      <c r="O80" s="46"/>
      <c r="P80" s="44"/>
      <c r="Q80" s="44"/>
      <c r="R80" s="44"/>
      <c r="S80" s="44"/>
      <c r="T80" s="44"/>
      <c r="U80" s="44"/>
      <c r="V80" s="44"/>
      <c r="W80" s="44"/>
      <c r="X80" s="44"/>
    </row>
    <row r="81" spans="1:24" ht="15" customHeight="1" thickBot="1" x14ac:dyDescent="0.3">
      <c r="A81" s="35"/>
      <c r="B81" s="35"/>
      <c r="C81" s="40"/>
      <c r="D81" s="24"/>
      <c r="E81" s="1">
        <f t="shared" si="14"/>
        <v>0</v>
      </c>
      <c r="F81" s="1">
        <f t="shared" si="15"/>
        <v>0</v>
      </c>
      <c r="G81" s="1">
        <f t="shared" si="16"/>
        <v>0</v>
      </c>
      <c r="H81" s="1">
        <f t="shared" si="20"/>
        <v>0</v>
      </c>
      <c r="I81" s="37"/>
      <c r="J81" s="469">
        <f t="shared" si="17"/>
        <v>0</v>
      </c>
      <c r="K81" s="41"/>
      <c r="L81" s="1">
        <f t="shared" si="18"/>
        <v>0</v>
      </c>
      <c r="M81" s="42"/>
      <c r="N81" s="46"/>
      <c r="O81" s="46"/>
      <c r="P81" s="44"/>
      <c r="Q81" s="44"/>
      <c r="R81" s="44"/>
      <c r="S81" s="44"/>
      <c r="T81" s="44"/>
      <c r="U81" s="44"/>
      <c r="V81" s="44"/>
      <c r="W81" s="44"/>
      <c r="X81" s="44"/>
    </row>
    <row r="82" spans="1:24" ht="15" customHeight="1" thickBot="1" x14ac:dyDescent="0.3">
      <c r="A82" s="35"/>
      <c r="B82" s="35"/>
      <c r="C82" s="40"/>
      <c r="D82" s="24"/>
      <c r="E82" s="1">
        <f t="shared" si="14"/>
        <v>0</v>
      </c>
      <c r="F82" s="1">
        <f t="shared" si="15"/>
        <v>0</v>
      </c>
      <c r="G82" s="1">
        <f t="shared" si="16"/>
        <v>0</v>
      </c>
      <c r="H82" s="1">
        <f t="shared" si="20"/>
        <v>0</v>
      </c>
      <c r="I82" s="37"/>
      <c r="J82" s="469">
        <f t="shared" si="17"/>
        <v>0</v>
      </c>
      <c r="K82" s="41"/>
      <c r="L82" s="1">
        <f t="shared" si="18"/>
        <v>0</v>
      </c>
      <c r="M82" s="42"/>
      <c r="N82" s="46"/>
      <c r="O82" s="46"/>
      <c r="P82" s="44"/>
      <c r="Q82" s="44"/>
      <c r="R82" s="44"/>
      <c r="S82" s="44"/>
      <c r="T82" s="44"/>
      <c r="U82" s="44"/>
      <c r="V82" s="44"/>
      <c r="W82" s="44"/>
      <c r="X82" s="44"/>
    </row>
    <row r="83" spans="1:24" ht="19.5" customHeight="1" x14ac:dyDescent="0.25">
      <c r="A83" s="4"/>
      <c r="B83" s="4"/>
      <c r="C83" s="25"/>
      <c r="D83" s="25"/>
      <c r="E83" s="26"/>
      <c r="F83" s="26"/>
      <c r="G83" s="27"/>
      <c r="H83" s="27"/>
      <c r="I83" s="27"/>
      <c r="J83" s="6"/>
      <c r="K83" s="27" t="s">
        <v>33</v>
      </c>
      <c r="L83" s="27" t="s">
        <v>355</v>
      </c>
      <c r="M83" s="27" t="s">
        <v>34</v>
      </c>
      <c r="N83" s="27" t="s">
        <v>35</v>
      </c>
      <c r="O83" s="27" t="s">
        <v>36</v>
      </c>
      <c r="P83" s="27" t="s">
        <v>37</v>
      </c>
      <c r="Q83" s="27" t="s">
        <v>38</v>
      </c>
      <c r="R83" s="27" t="s">
        <v>39</v>
      </c>
      <c r="S83" s="27" t="s">
        <v>40</v>
      </c>
      <c r="T83" s="27" t="s">
        <v>285</v>
      </c>
      <c r="U83" s="27" t="s">
        <v>356</v>
      </c>
      <c r="V83" s="27" t="s">
        <v>357</v>
      </c>
      <c r="W83" s="27" t="s">
        <v>358</v>
      </c>
      <c r="X83" s="28" t="s">
        <v>359</v>
      </c>
    </row>
    <row r="84" spans="1:24" ht="15" x14ac:dyDescent="0.2">
      <c r="A84" s="29"/>
      <c r="B84" s="29"/>
      <c r="C84" s="30"/>
      <c r="D84" s="30"/>
      <c r="E84" s="30"/>
      <c r="F84" s="31"/>
      <c r="G84" s="30"/>
      <c r="H84" s="30"/>
      <c r="I84" s="30"/>
      <c r="J84" s="32"/>
      <c r="K84" s="33"/>
      <c r="L84" s="30"/>
      <c r="M84" s="31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28"/>
    </row>
  </sheetData>
  <phoneticPr fontId="0" type="noConversion"/>
  <printOptions horizontalCentered="1" verticalCentered="1" gridLines="1" gridLinesSet="0"/>
  <pageMargins left="0.78740157480314965" right="0.6692913385826772" top="1.1811023622047245" bottom="0.98425196850393704" header="0.70866141732283472" footer="0.51181102362204722"/>
  <pageSetup paperSize="9" scale="10" orientation="landscape" horizontalDpi="4294967292" verticalDpi="180" r:id="rId1"/>
  <headerFooter alignWithMargins="0">
    <oddHeader>&amp;C&amp;"Arial,Negrito"&amp;14&amp;A</oddHeader>
    <oddFooter>&amp;C&amp;"Arial,Negrito"&amp;14&amp;F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24C06-D14D-4C81-8468-D430A719F861}">
  <sheetPr>
    <pageSetUpPr fitToPage="1"/>
  </sheetPr>
  <dimension ref="A1:V129"/>
  <sheetViews>
    <sheetView showGridLines="0" showZeros="0" tabSelected="1" zoomScale="90" zoomScaleNormal="90" zoomScaleSheetLayoutView="70" workbookViewId="0">
      <selection activeCell="C64" sqref="C64"/>
    </sheetView>
  </sheetViews>
  <sheetFormatPr defaultColWidth="21.6640625" defaultRowHeight="12.75" x14ac:dyDescent="0.2"/>
  <cols>
    <col min="1" max="1" width="18" style="265" customWidth="1"/>
    <col min="2" max="2" width="14.83203125" style="265" customWidth="1"/>
    <col min="3" max="3" width="114" style="47" customWidth="1"/>
    <col min="4" max="4" width="10.5" style="47" customWidth="1"/>
    <col min="5" max="5" width="12.83203125" style="47" customWidth="1"/>
    <col min="6" max="6" width="12.1640625" style="47" customWidth="1"/>
    <col min="7" max="8" width="17.33203125" style="47" customWidth="1"/>
    <col min="9" max="16384" width="21.6640625" style="39"/>
  </cols>
  <sheetData>
    <row r="1" spans="1:8" s="38" customFormat="1" ht="25.15" customHeight="1" thickBot="1" x14ac:dyDescent="0.25">
      <c r="A1" s="266" t="s">
        <v>81</v>
      </c>
      <c r="B1" s="608"/>
      <c r="C1" s="609"/>
      <c r="D1" s="610"/>
      <c r="E1" s="610"/>
      <c r="F1" s="610"/>
      <c r="G1" s="609"/>
      <c r="H1" s="637"/>
    </row>
    <row r="2" spans="1:8" s="38" customFormat="1" x14ac:dyDescent="0.2">
      <c r="A2" s="550" t="s">
        <v>84</v>
      </c>
      <c r="B2" s="551"/>
      <c r="C2" s="552" t="s">
        <v>468</v>
      </c>
      <c r="D2" s="553"/>
      <c r="E2" s="553"/>
      <c r="F2" s="553"/>
      <c r="G2" s="613" t="s">
        <v>85</v>
      </c>
      <c r="H2" s="614" t="s">
        <v>471</v>
      </c>
    </row>
    <row r="3" spans="1:8" s="38" customFormat="1" x14ac:dyDescent="0.2">
      <c r="A3" s="554" t="s">
        <v>382</v>
      </c>
      <c r="B3" s="555"/>
      <c r="C3" s="556" t="s">
        <v>469</v>
      </c>
      <c r="D3" s="557"/>
      <c r="E3" s="557"/>
      <c r="F3" s="557"/>
      <c r="G3" s="615" t="s">
        <v>86</v>
      </c>
      <c r="H3" s="616" t="s">
        <v>472</v>
      </c>
    </row>
    <row r="4" spans="1:8" s="38" customFormat="1" ht="13.5" thickBot="1" x14ac:dyDescent="0.25">
      <c r="A4" s="558" t="s">
        <v>385</v>
      </c>
      <c r="B4" s="559"/>
      <c r="C4" s="560" t="s">
        <v>470</v>
      </c>
      <c r="D4" s="561"/>
      <c r="E4" s="561"/>
      <c r="F4" s="561"/>
      <c r="G4" s="561"/>
      <c r="H4" s="611"/>
    </row>
    <row r="5" spans="1:8" ht="13.5" thickBot="1" x14ac:dyDescent="0.25">
      <c r="A5" s="562" t="s">
        <v>146</v>
      </c>
      <c r="B5" s="563" t="s">
        <v>383</v>
      </c>
      <c r="C5" s="564" t="s">
        <v>79</v>
      </c>
      <c r="D5" s="565" t="s">
        <v>80</v>
      </c>
      <c r="E5" s="566" t="s">
        <v>82</v>
      </c>
      <c r="F5" s="617"/>
      <c r="G5" s="618"/>
      <c r="H5" s="618"/>
    </row>
    <row r="6" spans="1:8" ht="23.25" thickBot="1" x14ac:dyDescent="0.25">
      <c r="A6" s="567" t="s">
        <v>87</v>
      </c>
      <c r="B6" s="568"/>
      <c r="C6" s="569"/>
      <c r="D6" s="570"/>
      <c r="E6" s="571" t="s">
        <v>0</v>
      </c>
      <c r="F6" s="619" t="s">
        <v>1</v>
      </c>
      <c r="G6" s="620" t="s">
        <v>2</v>
      </c>
      <c r="H6" s="621" t="s">
        <v>83</v>
      </c>
    </row>
    <row r="7" spans="1:8" ht="13.5" thickBot="1" x14ac:dyDescent="0.25">
      <c r="A7" s="572" t="s">
        <v>163</v>
      </c>
      <c r="B7" s="573"/>
      <c r="C7" s="574" t="s">
        <v>152</v>
      </c>
      <c r="D7" s="575" t="s">
        <v>174</v>
      </c>
      <c r="E7" s="576"/>
      <c r="F7" s="575"/>
      <c r="G7" s="622"/>
      <c r="H7" s="612">
        <v>5337.41</v>
      </c>
    </row>
    <row r="8" spans="1:8" x14ac:dyDescent="0.2">
      <c r="A8" s="577" t="s">
        <v>402</v>
      </c>
      <c r="B8" s="578" t="s">
        <v>92</v>
      </c>
      <c r="C8" s="579" t="s">
        <v>91</v>
      </c>
      <c r="D8" s="580" t="s">
        <v>3</v>
      </c>
      <c r="E8" s="581">
        <v>7.97</v>
      </c>
      <c r="F8" s="581">
        <v>171</v>
      </c>
      <c r="G8" s="623">
        <v>1362.87</v>
      </c>
      <c r="H8" s="624"/>
    </row>
    <row r="9" spans="1:8" ht="13.5" thickBot="1" x14ac:dyDescent="0.25">
      <c r="A9" s="577" t="s">
        <v>386</v>
      </c>
      <c r="B9" s="578" t="s">
        <v>388</v>
      </c>
      <c r="C9" s="579" t="s">
        <v>387</v>
      </c>
      <c r="D9" s="580" t="s">
        <v>8</v>
      </c>
      <c r="E9" s="582">
        <v>1</v>
      </c>
      <c r="F9" s="625">
        <v>3974.54</v>
      </c>
      <c r="G9" s="623">
        <v>3974.54</v>
      </c>
      <c r="H9" s="624"/>
    </row>
    <row r="10" spans="1:8" ht="13.5" thickBot="1" x14ac:dyDescent="0.25">
      <c r="A10" s="572" t="s">
        <v>89</v>
      </c>
      <c r="B10" s="573"/>
      <c r="C10" s="574" t="s">
        <v>148</v>
      </c>
      <c r="D10" s="575" t="s">
        <v>174</v>
      </c>
      <c r="E10" s="576"/>
      <c r="F10" s="575"/>
      <c r="G10" s="622"/>
      <c r="H10" s="612">
        <v>3743.27</v>
      </c>
    </row>
    <row r="11" spans="1:8" x14ac:dyDescent="0.2">
      <c r="A11" s="583">
        <v>401200</v>
      </c>
      <c r="B11" s="584" t="s">
        <v>92</v>
      </c>
      <c r="C11" s="579" t="s">
        <v>90</v>
      </c>
      <c r="D11" s="580" t="s">
        <v>3</v>
      </c>
      <c r="E11" s="581">
        <v>232.46</v>
      </c>
      <c r="F11" s="581">
        <v>1.83</v>
      </c>
      <c r="G11" s="623">
        <v>425.4</v>
      </c>
      <c r="H11" s="624"/>
    </row>
    <row r="12" spans="1:8" ht="13.5" thickBot="1" x14ac:dyDescent="0.25">
      <c r="A12" s="583">
        <v>101114</v>
      </c>
      <c r="B12" s="584" t="s">
        <v>199</v>
      </c>
      <c r="C12" s="579" t="s">
        <v>473</v>
      </c>
      <c r="D12" s="580" t="s">
        <v>3</v>
      </c>
      <c r="E12" s="581">
        <v>540.37</v>
      </c>
      <c r="F12" s="581">
        <v>6.14</v>
      </c>
      <c r="G12" s="623">
        <v>3317.87</v>
      </c>
      <c r="H12" s="624"/>
    </row>
    <row r="13" spans="1:8" ht="13.5" thickBot="1" x14ac:dyDescent="0.25">
      <c r="A13" s="585" t="s">
        <v>93</v>
      </c>
      <c r="B13" s="586"/>
      <c r="C13" s="587" t="s">
        <v>153</v>
      </c>
      <c r="D13" s="575" t="s">
        <v>174</v>
      </c>
      <c r="E13" s="576"/>
      <c r="F13" s="575"/>
      <c r="G13" s="622"/>
      <c r="H13" s="612">
        <v>186479.82</v>
      </c>
    </row>
    <row r="14" spans="1:8" x14ac:dyDescent="0.2">
      <c r="A14" s="588" t="s">
        <v>411</v>
      </c>
      <c r="B14" s="578" t="s">
        <v>92</v>
      </c>
      <c r="C14" s="579" t="s">
        <v>94</v>
      </c>
      <c r="D14" s="580" t="s">
        <v>3</v>
      </c>
      <c r="E14" s="581">
        <v>345.84</v>
      </c>
      <c r="F14" s="581">
        <v>225.93</v>
      </c>
      <c r="G14" s="623">
        <v>78135.63</v>
      </c>
      <c r="H14" s="624"/>
    </row>
    <row r="15" spans="1:8" ht="13.5" thickBot="1" x14ac:dyDescent="0.25">
      <c r="A15" s="589">
        <v>532000</v>
      </c>
      <c r="B15" s="578"/>
      <c r="C15" s="579" t="s">
        <v>95</v>
      </c>
      <c r="D15" s="580" t="s">
        <v>3</v>
      </c>
      <c r="E15" s="582">
        <v>540.37</v>
      </c>
      <c r="F15" s="625">
        <v>200.5</v>
      </c>
      <c r="G15" s="623">
        <v>108344.19</v>
      </c>
      <c r="H15" s="624"/>
    </row>
    <row r="16" spans="1:8" ht="13.5" thickBot="1" x14ac:dyDescent="0.25">
      <c r="A16" s="585" t="s">
        <v>96</v>
      </c>
      <c r="B16" s="586"/>
      <c r="C16" s="587" t="s">
        <v>149</v>
      </c>
      <c r="D16" s="590" t="s">
        <v>174</v>
      </c>
      <c r="E16" s="576"/>
      <c r="F16" s="575"/>
      <c r="G16" s="622"/>
      <c r="H16" s="612">
        <v>204495.46</v>
      </c>
    </row>
    <row r="17" spans="1:8" x14ac:dyDescent="0.2">
      <c r="A17" s="591" t="s">
        <v>175</v>
      </c>
      <c r="B17" s="592" t="s">
        <v>92</v>
      </c>
      <c r="C17" s="593" t="s">
        <v>361</v>
      </c>
      <c r="D17" s="594" t="s">
        <v>5</v>
      </c>
      <c r="E17" s="595">
        <v>2161.48</v>
      </c>
      <c r="F17" s="626">
        <v>0.55000000000000004</v>
      </c>
      <c r="G17" s="627">
        <v>1188.81</v>
      </c>
      <c r="H17" s="624"/>
    </row>
    <row r="18" spans="1:8" ht="13.5" thickBot="1" x14ac:dyDescent="0.25">
      <c r="A18" s="596" t="s">
        <v>300</v>
      </c>
      <c r="B18" s="597" t="s">
        <v>98</v>
      </c>
      <c r="C18" s="598" t="s">
        <v>184</v>
      </c>
      <c r="D18" s="599" t="s">
        <v>7</v>
      </c>
      <c r="E18" s="600">
        <v>2.59</v>
      </c>
      <c r="F18" s="628">
        <v>5619.37</v>
      </c>
      <c r="G18" s="629">
        <v>14554.17</v>
      </c>
      <c r="H18" s="624"/>
    </row>
    <row r="19" spans="1:8" x14ac:dyDescent="0.2">
      <c r="A19" s="591" t="s">
        <v>299</v>
      </c>
      <c r="B19" s="592" t="s">
        <v>92</v>
      </c>
      <c r="C19" s="593" t="s">
        <v>183</v>
      </c>
      <c r="D19" s="594" t="s">
        <v>5</v>
      </c>
      <c r="E19" s="595">
        <v>2161.48</v>
      </c>
      <c r="F19" s="626">
        <v>0.37</v>
      </c>
      <c r="G19" s="627">
        <v>799.75</v>
      </c>
      <c r="H19" s="624"/>
    </row>
    <row r="20" spans="1:8" ht="13.5" thickBot="1" x14ac:dyDescent="0.25">
      <c r="A20" s="596" t="s">
        <v>301</v>
      </c>
      <c r="B20" s="597" t="s">
        <v>98</v>
      </c>
      <c r="C20" s="598" t="s">
        <v>185</v>
      </c>
      <c r="D20" s="599" t="s">
        <v>7</v>
      </c>
      <c r="E20" s="600">
        <v>1.08</v>
      </c>
      <c r="F20" s="628">
        <v>5619.37</v>
      </c>
      <c r="G20" s="629">
        <v>6068.92</v>
      </c>
      <c r="H20" s="624"/>
    </row>
    <row r="21" spans="1:8" x14ac:dyDescent="0.2">
      <c r="A21" s="601" t="s">
        <v>405</v>
      </c>
      <c r="B21" s="602" t="s">
        <v>92</v>
      </c>
      <c r="C21" s="593" t="s">
        <v>475</v>
      </c>
      <c r="D21" s="594" t="s">
        <v>7</v>
      </c>
      <c r="E21" s="595">
        <v>259.38</v>
      </c>
      <c r="F21" s="581">
        <v>262.43</v>
      </c>
      <c r="G21" s="627">
        <v>68069.09</v>
      </c>
      <c r="H21" s="624"/>
    </row>
    <row r="22" spans="1:8" ht="13.5" thickBot="1" x14ac:dyDescent="0.25">
      <c r="A22" s="604" t="s">
        <v>409</v>
      </c>
      <c r="B22" s="597" t="s">
        <v>98</v>
      </c>
      <c r="C22" s="605" t="s">
        <v>186</v>
      </c>
      <c r="D22" s="599" t="s">
        <v>7</v>
      </c>
      <c r="E22" s="600">
        <v>14.78</v>
      </c>
      <c r="F22" s="581">
        <v>7700.59</v>
      </c>
      <c r="G22" s="629">
        <v>113814.72</v>
      </c>
      <c r="H22" s="624"/>
    </row>
    <row r="23" spans="1:8" ht="13.5" thickBot="1" x14ac:dyDescent="0.25">
      <c r="A23" s="585" t="s">
        <v>88</v>
      </c>
      <c r="B23" s="586"/>
      <c r="C23" s="587" t="s">
        <v>150</v>
      </c>
      <c r="D23" s="575" t="s">
        <v>174</v>
      </c>
      <c r="E23" s="576"/>
      <c r="F23" s="575"/>
      <c r="G23" s="622"/>
      <c r="H23" s="612">
        <v>31168.799999999999</v>
      </c>
    </row>
    <row r="24" spans="1:8" ht="13.5" thickBot="1" x14ac:dyDescent="0.25">
      <c r="A24" s="577">
        <v>810150</v>
      </c>
      <c r="B24" s="578" t="s">
        <v>92</v>
      </c>
      <c r="C24" s="579" t="s">
        <v>102</v>
      </c>
      <c r="D24" s="580" t="s">
        <v>6</v>
      </c>
      <c r="E24" s="581">
        <v>555</v>
      </c>
      <c r="F24" s="581">
        <v>56.16</v>
      </c>
      <c r="G24" s="623">
        <v>31168.799999999999</v>
      </c>
      <c r="H24" s="624"/>
    </row>
    <row r="25" spans="1:8" ht="13.5" thickBot="1" x14ac:dyDescent="0.25">
      <c r="A25" s="585" t="s">
        <v>97</v>
      </c>
      <c r="B25" s="586"/>
      <c r="C25" s="587" t="s">
        <v>187</v>
      </c>
      <c r="D25" s="575" t="s">
        <v>174</v>
      </c>
      <c r="E25" s="576"/>
      <c r="F25" s="575"/>
      <c r="G25" s="622"/>
      <c r="H25" s="612">
        <v>95760.349999999991</v>
      </c>
    </row>
    <row r="26" spans="1:8" x14ac:dyDescent="0.2">
      <c r="A26" s="577" t="s">
        <v>406</v>
      </c>
      <c r="B26" s="578" t="s">
        <v>92</v>
      </c>
      <c r="C26" s="579" t="s">
        <v>474</v>
      </c>
      <c r="D26" s="580" t="s">
        <v>6</v>
      </c>
      <c r="E26" s="581">
        <v>198.24</v>
      </c>
      <c r="F26" s="581">
        <v>19.100000000000001</v>
      </c>
      <c r="G26" s="623">
        <v>3786.38</v>
      </c>
      <c r="H26" s="624"/>
    </row>
    <row r="27" spans="1:8" x14ac:dyDescent="0.2">
      <c r="A27" s="577" t="s">
        <v>408</v>
      </c>
      <c r="B27" s="578" t="s">
        <v>92</v>
      </c>
      <c r="C27" s="579" t="s">
        <v>407</v>
      </c>
      <c r="D27" s="580" t="s">
        <v>3</v>
      </c>
      <c r="E27" s="581">
        <v>47.81</v>
      </c>
      <c r="F27" s="581">
        <v>153.87</v>
      </c>
      <c r="G27" s="623">
        <v>7356.52</v>
      </c>
      <c r="H27" s="624"/>
    </row>
    <row r="28" spans="1:8" x14ac:dyDescent="0.2">
      <c r="A28" s="577" t="s">
        <v>403</v>
      </c>
      <c r="B28" s="578" t="s">
        <v>92</v>
      </c>
      <c r="C28" s="579" t="s">
        <v>352</v>
      </c>
      <c r="D28" s="580" t="s">
        <v>5</v>
      </c>
      <c r="E28" s="581">
        <v>861.13</v>
      </c>
      <c r="F28" s="581">
        <v>80.27</v>
      </c>
      <c r="G28" s="623">
        <v>69122.91</v>
      </c>
      <c r="H28" s="624"/>
    </row>
    <row r="29" spans="1:8" x14ac:dyDescent="0.2">
      <c r="A29" s="577" t="s">
        <v>404</v>
      </c>
      <c r="B29" s="578" t="s">
        <v>92</v>
      </c>
      <c r="C29" s="579" t="s">
        <v>353</v>
      </c>
      <c r="D29" s="580" t="s">
        <v>5</v>
      </c>
      <c r="E29" s="581">
        <v>95.15</v>
      </c>
      <c r="F29" s="581">
        <v>88.21</v>
      </c>
      <c r="G29" s="623">
        <v>8393.18</v>
      </c>
      <c r="H29" s="624"/>
    </row>
    <row r="30" spans="1:8" x14ac:dyDescent="0.2">
      <c r="A30" s="577">
        <v>98510</v>
      </c>
      <c r="B30" s="578" t="s">
        <v>199</v>
      </c>
      <c r="C30" s="579" t="s">
        <v>360</v>
      </c>
      <c r="D30" s="580" t="s">
        <v>8</v>
      </c>
      <c r="E30" s="581">
        <v>13</v>
      </c>
      <c r="F30" s="581">
        <v>60.03</v>
      </c>
      <c r="G30" s="623">
        <v>780.39</v>
      </c>
      <c r="H30" s="624"/>
    </row>
    <row r="31" spans="1:8" x14ac:dyDescent="0.2">
      <c r="A31" s="577">
        <v>98504</v>
      </c>
      <c r="B31" s="578" t="s">
        <v>199</v>
      </c>
      <c r="C31" s="579" t="s">
        <v>159</v>
      </c>
      <c r="D31" s="580" t="s">
        <v>5</v>
      </c>
      <c r="E31" s="581">
        <v>60.02</v>
      </c>
      <c r="F31" s="581">
        <v>13.55</v>
      </c>
      <c r="G31" s="623">
        <v>813.27</v>
      </c>
      <c r="H31" s="624"/>
    </row>
    <row r="32" spans="1:8" ht="13.5" thickBot="1" x14ac:dyDescent="0.25">
      <c r="A32" s="577" t="s">
        <v>410</v>
      </c>
      <c r="B32" s="578" t="s">
        <v>92</v>
      </c>
      <c r="C32" s="579" t="s">
        <v>104</v>
      </c>
      <c r="D32" s="580" t="s">
        <v>8</v>
      </c>
      <c r="E32" s="581">
        <v>10</v>
      </c>
      <c r="F32" s="581">
        <v>550.77</v>
      </c>
      <c r="G32" s="623">
        <v>5507.7</v>
      </c>
      <c r="H32" s="624"/>
    </row>
    <row r="33" spans="1:8" ht="13.5" thickBot="1" x14ac:dyDescent="0.25">
      <c r="A33" s="585" t="s">
        <v>147</v>
      </c>
      <c r="B33" s="586"/>
      <c r="C33" s="587" t="s">
        <v>154</v>
      </c>
      <c r="D33" s="575" t="s">
        <v>174</v>
      </c>
      <c r="E33" s="576"/>
      <c r="F33" s="575"/>
      <c r="G33" s="622"/>
      <c r="H33" s="612">
        <v>14455.56</v>
      </c>
    </row>
    <row r="34" spans="1:8" x14ac:dyDescent="0.2">
      <c r="A34" s="577">
        <v>822000</v>
      </c>
      <c r="B34" s="578" t="s">
        <v>92</v>
      </c>
      <c r="C34" s="579" t="s">
        <v>160</v>
      </c>
      <c r="D34" s="580" t="s">
        <v>5</v>
      </c>
      <c r="E34" s="581">
        <v>275.45999999999998</v>
      </c>
      <c r="F34" s="581">
        <v>36.619999999999997</v>
      </c>
      <c r="G34" s="623">
        <v>10087.35</v>
      </c>
      <c r="H34" s="624"/>
    </row>
    <row r="35" spans="1:8" x14ac:dyDescent="0.2">
      <c r="A35" s="577" t="s">
        <v>107</v>
      </c>
      <c r="B35" s="578" t="s">
        <v>92</v>
      </c>
      <c r="C35" s="579" t="s">
        <v>105</v>
      </c>
      <c r="D35" s="580" t="s">
        <v>5</v>
      </c>
      <c r="E35" s="581">
        <v>1.8</v>
      </c>
      <c r="F35" s="581">
        <v>736.05</v>
      </c>
      <c r="G35" s="623">
        <v>1324.89</v>
      </c>
      <c r="H35" s="624"/>
    </row>
    <row r="36" spans="1:8" ht="13.5" thickBot="1" x14ac:dyDescent="0.25">
      <c r="A36" s="577">
        <v>821300</v>
      </c>
      <c r="B36" s="578" t="s">
        <v>92</v>
      </c>
      <c r="C36" s="579" t="s">
        <v>106</v>
      </c>
      <c r="D36" s="580" t="s">
        <v>8</v>
      </c>
      <c r="E36" s="581">
        <v>6</v>
      </c>
      <c r="F36" s="581">
        <v>507.22</v>
      </c>
      <c r="G36" s="623">
        <v>3043.32</v>
      </c>
      <c r="H36" s="624"/>
    </row>
    <row r="37" spans="1:8" ht="13.5" thickBot="1" x14ac:dyDescent="0.25">
      <c r="A37" s="585" t="s">
        <v>156</v>
      </c>
      <c r="B37" s="586"/>
      <c r="C37" s="587" t="s">
        <v>157</v>
      </c>
      <c r="D37" s="575" t="s">
        <v>174</v>
      </c>
      <c r="E37" s="576"/>
      <c r="F37" s="575"/>
      <c r="G37" s="622"/>
      <c r="H37" s="612">
        <v>5072.38</v>
      </c>
    </row>
    <row r="38" spans="1:8" ht="13.5" thickBot="1" x14ac:dyDescent="0.25">
      <c r="A38" s="577" t="s">
        <v>467</v>
      </c>
      <c r="B38" s="578" t="s">
        <v>92</v>
      </c>
      <c r="C38" s="579" t="s">
        <v>103</v>
      </c>
      <c r="D38" s="580" t="s">
        <v>6</v>
      </c>
      <c r="E38" s="581">
        <v>127</v>
      </c>
      <c r="F38" s="581">
        <v>39.94</v>
      </c>
      <c r="G38" s="623">
        <v>5072.38</v>
      </c>
      <c r="H38" s="624"/>
    </row>
    <row r="39" spans="1:8" ht="13.5" thickBot="1" x14ac:dyDescent="0.25">
      <c r="A39" s="585" t="s">
        <v>158</v>
      </c>
      <c r="B39" s="586"/>
      <c r="C39" s="587" t="s">
        <v>151</v>
      </c>
      <c r="D39" s="575" t="s">
        <v>174</v>
      </c>
      <c r="E39" s="576"/>
      <c r="F39" s="575"/>
      <c r="G39" s="622"/>
      <c r="H39" s="612">
        <v>55079.8</v>
      </c>
    </row>
    <row r="40" spans="1:8" x14ac:dyDescent="0.2">
      <c r="A40" s="577" t="s">
        <v>412</v>
      </c>
      <c r="B40" s="578" t="s">
        <v>92</v>
      </c>
      <c r="C40" s="579" t="s">
        <v>109</v>
      </c>
      <c r="D40" s="580" t="s">
        <v>6</v>
      </c>
      <c r="E40" s="581">
        <v>243.74</v>
      </c>
      <c r="F40" s="581">
        <v>141.82</v>
      </c>
      <c r="G40" s="623">
        <v>34567.21</v>
      </c>
      <c r="H40" s="624"/>
    </row>
    <row r="41" spans="1:8" x14ac:dyDescent="0.2">
      <c r="A41" s="577" t="s">
        <v>9</v>
      </c>
      <c r="B41" s="578" t="s">
        <v>92</v>
      </c>
      <c r="C41" s="579" t="s">
        <v>26</v>
      </c>
      <c r="D41" s="580" t="s">
        <v>8</v>
      </c>
      <c r="E41" s="581">
        <v>9</v>
      </c>
      <c r="F41" s="581">
        <v>1924.18</v>
      </c>
      <c r="G41" s="623">
        <v>17317.62</v>
      </c>
      <c r="H41" s="624"/>
    </row>
    <row r="42" spans="1:8" x14ac:dyDescent="0.2">
      <c r="A42" s="577" t="s">
        <v>55</v>
      </c>
      <c r="B42" s="578" t="s">
        <v>92</v>
      </c>
      <c r="C42" s="579" t="s">
        <v>41</v>
      </c>
      <c r="D42" s="580" t="s">
        <v>8</v>
      </c>
      <c r="E42" s="581">
        <v>2</v>
      </c>
      <c r="F42" s="581">
        <v>686.4</v>
      </c>
      <c r="G42" s="623">
        <v>1372.8</v>
      </c>
      <c r="H42" s="624"/>
    </row>
    <row r="43" spans="1:8" ht="13.5" thickBot="1" x14ac:dyDescent="0.25">
      <c r="A43" s="577" t="s">
        <v>10</v>
      </c>
      <c r="B43" s="578" t="s">
        <v>92</v>
      </c>
      <c r="C43" s="579" t="s">
        <v>133</v>
      </c>
      <c r="D43" s="580" t="s">
        <v>8</v>
      </c>
      <c r="E43" s="581">
        <v>1</v>
      </c>
      <c r="F43" s="581">
        <v>1822.17</v>
      </c>
      <c r="G43" s="623">
        <v>1822.17</v>
      </c>
      <c r="H43" s="624"/>
    </row>
    <row r="44" spans="1:8" ht="34.5" thickBot="1" x14ac:dyDescent="0.25">
      <c r="A44" s="585" t="s">
        <v>164</v>
      </c>
      <c r="B44" s="586"/>
      <c r="C44" s="606" t="s">
        <v>413</v>
      </c>
      <c r="D44" s="575" t="s">
        <v>174</v>
      </c>
      <c r="E44" s="576"/>
      <c r="F44" s="575"/>
      <c r="G44" s="622"/>
      <c r="H44" s="612">
        <v>9254.68</v>
      </c>
    </row>
    <row r="45" spans="1:8" s="47" customFormat="1" x14ac:dyDescent="0.2">
      <c r="A45" s="588" t="s">
        <v>178</v>
      </c>
      <c r="B45" s="578" t="s">
        <v>173</v>
      </c>
      <c r="C45" s="579" t="s">
        <v>165</v>
      </c>
      <c r="D45" s="580" t="s">
        <v>8</v>
      </c>
      <c r="E45" s="581">
        <v>4</v>
      </c>
      <c r="F45" s="581">
        <v>145.32</v>
      </c>
      <c r="G45" s="623">
        <v>581.28</v>
      </c>
      <c r="H45" s="624"/>
    </row>
    <row r="46" spans="1:8" s="47" customFormat="1" x14ac:dyDescent="0.2">
      <c r="A46" s="588" t="s">
        <v>179</v>
      </c>
      <c r="B46" s="578" t="s">
        <v>173</v>
      </c>
      <c r="C46" s="579" t="s">
        <v>166</v>
      </c>
      <c r="D46" s="580" t="s">
        <v>8</v>
      </c>
      <c r="E46" s="581">
        <v>4</v>
      </c>
      <c r="F46" s="581">
        <v>148.16999999999999</v>
      </c>
      <c r="G46" s="623">
        <v>592.67999999999995</v>
      </c>
      <c r="H46" s="624"/>
    </row>
    <row r="47" spans="1:8" s="47" customFormat="1" x14ac:dyDescent="0.2">
      <c r="A47" s="588" t="s">
        <v>167</v>
      </c>
      <c r="B47" s="578" t="s">
        <v>180</v>
      </c>
      <c r="C47" s="603" t="s">
        <v>168</v>
      </c>
      <c r="D47" s="580" t="s">
        <v>8</v>
      </c>
      <c r="E47" s="581">
        <v>4</v>
      </c>
      <c r="F47" s="581">
        <v>97.69</v>
      </c>
      <c r="G47" s="623">
        <v>390.76</v>
      </c>
      <c r="H47" s="624"/>
    </row>
    <row r="48" spans="1:8" s="47" customFormat="1" x14ac:dyDescent="0.2">
      <c r="A48" s="588" t="s">
        <v>200</v>
      </c>
      <c r="B48" s="578" t="s">
        <v>173</v>
      </c>
      <c r="C48" s="603" t="s">
        <v>169</v>
      </c>
      <c r="D48" s="580" t="s">
        <v>8</v>
      </c>
      <c r="E48" s="581">
        <v>4</v>
      </c>
      <c r="F48" s="581">
        <v>175.98</v>
      </c>
      <c r="G48" s="623">
        <v>703.92</v>
      </c>
      <c r="H48" s="624"/>
    </row>
    <row r="49" spans="1:22" s="47" customFormat="1" x14ac:dyDescent="0.2">
      <c r="A49" s="588" t="s">
        <v>170</v>
      </c>
      <c r="B49" s="578" t="s">
        <v>180</v>
      </c>
      <c r="C49" s="579" t="s">
        <v>171</v>
      </c>
      <c r="D49" s="580" t="s">
        <v>8</v>
      </c>
      <c r="E49" s="581">
        <v>4</v>
      </c>
      <c r="F49" s="581">
        <v>102.95</v>
      </c>
      <c r="G49" s="623">
        <v>411.8</v>
      </c>
      <c r="H49" s="624"/>
    </row>
    <row r="50" spans="1:22" s="47" customFormat="1" x14ac:dyDescent="0.2">
      <c r="A50" s="607" t="s">
        <v>182</v>
      </c>
      <c r="B50" s="578" t="s">
        <v>173</v>
      </c>
      <c r="C50" s="579" t="s">
        <v>414</v>
      </c>
      <c r="D50" s="580" t="s">
        <v>8</v>
      </c>
      <c r="E50" s="581">
        <v>4</v>
      </c>
      <c r="F50" s="581">
        <v>137.21</v>
      </c>
      <c r="G50" s="623">
        <v>548.84</v>
      </c>
      <c r="H50" s="624"/>
    </row>
    <row r="51" spans="1:22" s="47" customFormat="1" ht="13.5" thickBot="1" x14ac:dyDescent="0.25">
      <c r="A51" s="588" t="s">
        <v>181</v>
      </c>
      <c r="B51" s="578" t="s">
        <v>173</v>
      </c>
      <c r="C51" s="579" t="s">
        <v>415</v>
      </c>
      <c r="D51" s="580" t="s">
        <v>172</v>
      </c>
      <c r="E51" s="581">
        <v>1</v>
      </c>
      <c r="F51" s="581">
        <v>6025.4</v>
      </c>
      <c r="G51" s="623">
        <v>6025.4</v>
      </c>
      <c r="H51" s="624"/>
    </row>
    <row r="52" spans="1:22" ht="13.5" thickBot="1" x14ac:dyDescent="0.25">
      <c r="A52" s="630" t="s">
        <v>78</v>
      </c>
      <c r="B52" s="631"/>
      <c r="C52" s="632" t="s">
        <v>162</v>
      </c>
      <c r="D52" s="633"/>
      <c r="E52" s="634"/>
      <c r="F52" s="635"/>
      <c r="G52" s="636"/>
      <c r="H52" s="636">
        <v>610847.53000000014</v>
      </c>
    </row>
    <row r="53" spans="1:22" x14ac:dyDescent="0.2">
      <c r="A53" s="269"/>
      <c r="B53" s="47"/>
    </row>
    <row r="54" spans="1:22" x14ac:dyDescent="0.2">
      <c r="A54" s="269"/>
      <c r="B54" s="47"/>
    </row>
    <row r="55" spans="1:22" s="47" customFormat="1" x14ac:dyDescent="0.2">
      <c r="A55" s="26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</row>
    <row r="56" spans="1:22" s="47" customFormat="1" x14ac:dyDescent="0.2">
      <c r="A56" s="26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</row>
    <row r="57" spans="1:22" s="47" customFormat="1" x14ac:dyDescent="0.2">
      <c r="A57" s="26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</row>
    <row r="58" spans="1:22" s="47" customFormat="1" x14ac:dyDescent="0.2">
      <c r="A58" s="26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</row>
    <row r="59" spans="1:22" s="47" customFormat="1" x14ac:dyDescent="0.2">
      <c r="A59" s="26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</row>
    <row r="60" spans="1:22" s="47" customFormat="1" x14ac:dyDescent="0.2">
      <c r="A60" s="26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</row>
    <row r="61" spans="1:22" s="47" customFormat="1" x14ac:dyDescent="0.2">
      <c r="A61" s="26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</row>
    <row r="62" spans="1:22" s="47" customFormat="1" x14ac:dyDescent="0.2">
      <c r="A62" s="26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</row>
    <row r="63" spans="1:22" s="47" customFormat="1" x14ac:dyDescent="0.2">
      <c r="A63" s="26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1:22" s="47" customFormat="1" x14ac:dyDescent="0.2">
      <c r="A64" s="26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</row>
    <row r="65" spans="1:22" s="47" customFormat="1" x14ac:dyDescent="0.2">
      <c r="A65" s="269"/>
      <c r="C65" s="264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</row>
    <row r="66" spans="1:22" s="47" customFormat="1" x14ac:dyDescent="0.2">
      <c r="A66" s="26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</row>
    <row r="67" spans="1:22" s="47" customFormat="1" x14ac:dyDescent="0.2">
      <c r="A67" s="26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</row>
    <row r="68" spans="1:22" s="47" customFormat="1" x14ac:dyDescent="0.2">
      <c r="A68" s="26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</row>
    <row r="69" spans="1:22" s="47" customFormat="1" x14ac:dyDescent="0.2">
      <c r="A69" s="26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</row>
    <row r="70" spans="1:22" s="47" customFormat="1" x14ac:dyDescent="0.2">
      <c r="A70" s="26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</row>
    <row r="71" spans="1:22" s="47" customFormat="1" x14ac:dyDescent="0.2">
      <c r="A71" s="26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</row>
    <row r="72" spans="1:22" s="47" customFormat="1" x14ac:dyDescent="0.2">
      <c r="A72" s="26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</row>
    <row r="73" spans="1:22" s="47" customFormat="1" x14ac:dyDescent="0.2">
      <c r="A73" s="26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</row>
    <row r="74" spans="1:22" s="47" customFormat="1" x14ac:dyDescent="0.2">
      <c r="A74" s="26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</row>
    <row r="75" spans="1:22" s="47" customFormat="1" x14ac:dyDescent="0.2">
      <c r="A75" s="26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</row>
    <row r="76" spans="1:22" s="47" customFormat="1" x14ac:dyDescent="0.2">
      <c r="A76" s="26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</row>
    <row r="77" spans="1:22" s="47" customFormat="1" x14ac:dyDescent="0.2">
      <c r="A77" s="26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</row>
    <row r="78" spans="1:22" s="47" customFormat="1" x14ac:dyDescent="0.2">
      <c r="A78" s="26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</row>
    <row r="79" spans="1:22" s="47" customFormat="1" x14ac:dyDescent="0.2">
      <c r="A79" s="26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</row>
    <row r="80" spans="1:22" s="47" customFormat="1" x14ac:dyDescent="0.2">
      <c r="A80" s="26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</row>
    <row r="81" spans="1:22" s="47" customFormat="1" x14ac:dyDescent="0.2">
      <c r="A81" s="26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</row>
    <row r="82" spans="1:22" s="47" customFormat="1" x14ac:dyDescent="0.2">
      <c r="A82" s="26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</row>
    <row r="83" spans="1:22" s="47" customFormat="1" x14ac:dyDescent="0.2">
      <c r="A83" s="26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</row>
    <row r="84" spans="1:22" s="47" customFormat="1" x14ac:dyDescent="0.2">
      <c r="A84" s="26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</row>
    <row r="85" spans="1:22" s="47" customFormat="1" x14ac:dyDescent="0.2">
      <c r="A85" s="26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</row>
    <row r="86" spans="1:22" s="47" customFormat="1" x14ac:dyDescent="0.2">
      <c r="A86" s="26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</row>
    <row r="87" spans="1:22" s="47" customFormat="1" x14ac:dyDescent="0.2">
      <c r="A87" s="26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</row>
    <row r="88" spans="1:22" s="47" customFormat="1" x14ac:dyDescent="0.2">
      <c r="A88" s="26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</row>
    <row r="89" spans="1:22" s="47" customFormat="1" x14ac:dyDescent="0.2">
      <c r="A89" s="26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</row>
    <row r="90" spans="1:22" s="47" customFormat="1" x14ac:dyDescent="0.2">
      <c r="A90" s="26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</row>
    <row r="91" spans="1:22" s="47" customFormat="1" x14ac:dyDescent="0.2">
      <c r="A91" s="26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</row>
    <row r="92" spans="1:22" s="47" customFormat="1" x14ac:dyDescent="0.2">
      <c r="A92" s="26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</row>
    <row r="93" spans="1:22" s="47" customFormat="1" x14ac:dyDescent="0.2">
      <c r="A93" s="26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</row>
    <row r="94" spans="1:22" s="47" customFormat="1" x14ac:dyDescent="0.2">
      <c r="A94" s="26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</row>
    <row r="95" spans="1:22" s="47" customFormat="1" x14ac:dyDescent="0.2">
      <c r="A95" s="26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</row>
    <row r="96" spans="1:22" s="47" customFormat="1" x14ac:dyDescent="0.2">
      <c r="A96" s="26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</row>
    <row r="97" spans="1:22" s="47" customFormat="1" x14ac:dyDescent="0.2">
      <c r="A97" s="26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</row>
    <row r="98" spans="1:22" s="47" customFormat="1" x14ac:dyDescent="0.2">
      <c r="A98" s="26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</row>
    <row r="99" spans="1:22" s="47" customFormat="1" x14ac:dyDescent="0.2">
      <c r="A99" s="26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 s="47" customFormat="1" x14ac:dyDescent="0.2">
      <c r="A100" s="26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 s="47" customFormat="1" x14ac:dyDescent="0.2">
      <c r="A101" s="26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</row>
    <row r="102" spans="1:22" s="47" customFormat="1" x14ac:dyDescent="0.2">
      <c r="A102" s="26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</row>
    <row r="103" spans="1:22" s="47" customFormat="1" x14ac:dyDescent="0.2">
      <c r="A103" s="26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</row>
    <row r="104" spans="1:22" s="47" customFormat="1" x14ac:dyDescent="0.2">
      <c r="A104" s="26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</row>
    <row r="105" spans="1:22" s="47" customFormat="1" x14ac:dyDescent="0.2">
      <c r="A105" s="26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</row>
    <row r="106" spans="1:22" s="47" customFormat="1" x14ac:dyDescent="0.2">
      <c r="A106" s="26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</row>
    <row r="107" spans="1:22" s="47" customFormat="1" x14ac:dyDescent="0.2">
      <c r="A107" s="26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</row>
    <row r="108" spans="1:22" s="47" customFormat="1" x14ac:dyDescent="0.2">
      <c r="A108" s="26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</row>
    <row r="109" spans="1:22" s="47" customFormat="1" x14ac:dyDescent="0.2">
      <c r="A109" s="26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</row>
    <row r="110" spans="1:22" s="47" customFormat="1" x14ac:dyDescent="0.2">
      <c r="A110" s="26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</row>
    <row r="111" spans="1:22" s="47" customFormat="1" x14ac:dyDescent="0.2">
      <c r="A111" s="26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</row>
    <row r="112" spans="1:22" s="47" customFormat="1" x14ac:dyDescent="0.2">
      <c r="A112" s="26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</row>
    <row r="113" spans="1:22" s="47" customFormat="1" x14ac:dyDescent="0.2">
      <c r="A113" s="26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</row>
    <row r="114" spans="1:22" s="47" customFormat="1" x14ac:dyDescent="0.2">
      <c r="A114" s="26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</row>
    <row r="115" spans="1:22" s="47" customFormat="1" x14ac:dyDescent="0.2">
      <c r="A115" s="26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</row>
    <row r="116" spans="1:22" s="47" customFormat="1" x14ac:dyDescent="0.2">
      <c r="A116" s="26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</row>
    <row r="117" spans="1:22" s="47" customFormat="1" x14ac:dyDescent="0.2">
      <c r="A117" s="26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</row>
    <row r="118" spans="1:22" s="47" customFormat="1" x14ac:dyDescent="0.2">
      <c r="A118" s="26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</row>
    <row r="119" spans="1:22" s="47" customFormat="1" x14ac:dyDescent="0.2">
      <c r="A119" s="26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</row>
    <row r="120" spans="1:22" s="47" customFormat="1" x14ac:dyDescent="0.2">
      <c r="A120" s="26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</row>
    <row r="121" spans="1:22" s="47" customFormat="1" x14ac:dyDescent="0.2">
      <c r="A121" s="26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</row>
    <row r="122" spans="1:22" s="47" customFormat="1" x14ac:dyDescent="0.2">
      <c r="A122" s="26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</row>
    <row r="123" spans="1:22" s="47" customFormat="1" x14ac:dyDescent="0.2">
      <c r="A123" s="26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</row>
    <row r="124" spans="1:22" s="47" customFormat="1" x14ac:dyDescent="0.2">
      <c r="A124" s="26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</row>
    <row r="125" spans="1:22" s="47" customFormat="1" x14ac:dyDescent="0.2">
      <c r="A125" s="26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</row>
    <row r="126" spans="1:22" s="47" customFormat="1" x14ac:dyDescent="0.2">
      <c r="A126" s="26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</row>
    <row r="127" spans="1:22" s="47" customFormat="1" x14ac:dyDescent="0.2">
      <c r="A127" s="26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</row>
    <row r="128" spans="1:22" s="47" customFormat="1" x14ac:dyDescent="0.2">
      <c r="A128" s="26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</row>
    <row r="129" spans="1:22" s="47" customFormat="1" x14ac:dyDescent="0.2">
      <c r="A129" s="26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</row>
  </sheetData>
  <autoFilter ref="A6:H53" xr:uid="{00000000-0001-0000-0300-000000000000}"/>
  <pageMargins left="1.1811023622047245" right="0.78740157480314965" top="1.1811023622047245" bottom="1.1811023622047245" header="0" footer="0"/>
  <pageSetup paperSize="9" scale="4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824E-43D8-4496-B337-E32F342E37C7}">
  <dimension ref="A1:I12"/>
  <sheetViews>
    <sheetView showGridLines="0" workbookViewId="0">
      <selection activeCell="E17" sqref="E17"/>
    </sheetView>
  </sheetViews>
  <sheetFormatPr defaultColWidth="9.33203125" defaultRowHeight="12.75" x14ac:dyDescent="0.2"/>
  <cols>
    <col min="1" max="1" width="48.6640625" style="51" customWidth="1"/>
    <col min="2" max="2" width="27.6640625" style="51" customWidth="1"/>
    <col min="3" max="3" width="39.83203125" style="51" customWidth="1"/>
    <col min="4" max="4" width="5.1640625" style="51" customWidth="1"/>
    <col min="5" max="5" width="34.5" style="51" customWidth="1"/>
    <col min="6" max="6" width="17.1640625" style="51" customWidth="1"/>
    <col min="7" max="16384" width="9.33203125" style="51"/>
  </cols>
  <sheetData>
    <row r="1" spans="1:9" ht="27" thickBot="1" x14ac:dyDescent="0.45">
      <c r="A1" s="48" t="s">
        <v>188</v>
      </c>
      <c r="B1" s="49"/>
      <c r="C1" s="49"/>
      <c r="D1" s="49"/>
      <c r="E1" s="50"/>
    </row>
    <row r="2" spans="1:9" ht="21" thickBot="1" x14ac:dyDescent="0.35">
      <c r="A2" s="52"/>
      <c r="B2" s="53" t="s">
        <v>194</v>
      </c>
      <c r="C2" s="54"/>
      <c r="D2" s="55"/>
      <c r="E2" s="56"/>
    </row>
    <row r="3" spans="1:9" ht="27" thickBot="1" x14ac:dyDescent="0.45">
      <c r="A3" s="57" t="s">
        <v>190</v>
      </c>
      <c r="B3" s="58"/>
      <c r="C3" s="58"/>
      <c r="D3" s="58"/>
      <c r="E3" s="59"/>
    </row>
    <row r="4" spans="1:9" x14ac:dyDescent="0.2">
      <c r="A4" s="65"/>
      <c r="B4" s="62"/>
      <c r="C4" s="62"/>
      <c r="D4" s="62"/>
      <c r="E4" s="66"/>
      <c r="H4" s="78"/>
      <c r="I4" s="78"/>
    </row>
    <row r="5" spans="1:9" ht="18.75" thickBot="1" x14ac:dyDescent="0.3">
      <c r="A5" s="67" t="s">
        <v>195</v>
      </c>
      <c r="B5" s="60"/>
      <c r="C5" s="60"/>
      <c r="D5" s="60"/>
      <c r="E5" s="61"/>
      <c r="H5" s="78"/>
      <c r="I5" s="78"/>
    </row>
    <row r="6" spans="1:9" ht="18.75" thickBot="1" x14ac:dyDescent="0.3">
      <c r="A6" s="68" t="s">
        <v>196</v>
      </c>
      <c r="B6" s="536">
        <v>1945000</v>
      </c>
      <c r="C6" s="537"/>
      <c r="D6" s="537"/>
      <c r="E6" s="538"/>
      <c r="H6" s="78"/>
      <c r="I6" s="78"/>
    </row>
    <row r="7" spans="1:9" ht="18.75" thickBot="1" x14ac:dyDescent="0.3">
      <c r="A7" s="68" t="s">
        <v>197</v>
      </c>
      <c r="B7" s="539">
        <v>10000</v>
      </c>
      <c r="C7" s="540"/>
      <c r="D7" s="540"/>
      <c r="E7" s="541"/>
      <c r="I7" s="78"/>
    </row>
    <row r="8" spans="1:9" ht="12.75" customHeight="1" x14ac:dyDescent="0.2">
      <c r="A8" s="69"/>
      <c r="B8" s="542">
        <f>IF(B7=0,"",IF(B6=0,0,ROUND(B6/B7,2)))</f>
        <v>194.5</v>
      </c>
      <c r="C8" s="62"/>
      <c r="D8" s="533" t="s">
        <v>192</v>
      </c>
      <c r="E8" s="546">
        <v>258.31</v>
      </c>
    </row>
    <row r="9" spans="1:9" ht="18" x14ac:dyDescent="0.25">
      <c r="A9" s="70" t="s">
        <v>193</v>
      </c>
      <c r="B9" s="543"/>
      <c r="C9" s="71" t="s">
        <v>198</v>
      </c>
      <c r="D9" s="534"/>
      <c r="E9" s="547"/>
    </row>
    <row r="10" spans="1:9" ht="18" x14ac:dyDescent="0.25">
      <c r="A10" s="72" t="s">
        <v>197</v>
      </c>
      <c r="B10" s="544"/>
      <c r="C10" s="73" t="s">
        <v>197</v>
      </c>
      <c r="D10" s="534"/>
      <c r="E10" s="548"/>
    </row>
    <row r="11" spans="1:9" ht="9.75" customHeight="1" thickBot="1" x14ac:dyDescent="0.3">
      <c r="A11" s="63"/>
      <c r="B11" s="545"/>
      <c r="C11" s="64"/>
      <c r="D11" s="535"/>
      <c r="E11" s="549"/>
    </row>
    <row r="12" spans="1:9" ht="18.75" thickBot="1" x14ac:dyDescent="0.3">
      <c r="A12" s="74" t="s">
        <v>191</v>
      </c>
      <c r="B12" s="75" t="str">
        <f>IF(B7=0,"",IF(B6=0,"",IF(B8&lt;=E8,"APROVADO","INVIÁVEL")))</f>
        <v>APROVADO</v>
      </c>
      <c r="C12" s="76"/>
      <c r="D12" s="76"/>
      <c r="E12" s="77"/>
    </row>
  </sheetData>
  <sheetProtection sheet="1" objects="1" scenarios="1"/>
  <mergeCells count="5">
    <mergeCell ref="B6:E6"/>
    <mergeCell ref="B7:E7"/>
    <mergeCell ref="B8:B11"/>
    <mergeCell ref="D8:D11"/>
    <mergeCell ref="E8:E1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73BE-9AE1-48AC-9D20-1EBA063EBD9A}">
  <dimension ref="A1:AA72"/>
  <sheetViews>
    <sheetView topLeftCell="A11" zoomScale="70" zoomScaleNormal="70" workbookViewId="0">
      <selection activeCell="F98" sqref="F98"/>
    </sheetView>
  </sheetViews>
  <sheetFormatPr defaultColWidth="9.1640625" defaultRowHeight="11.25" x14ac:dyDescent="0.2"/>
  <cols>
    <col min="1" max="1" width="39.5" style="122" customWidth="1"/>
    <col min="2" max="2" width="31" style="122" bestFit="1" customWidth="1"/>
    <col min="3" max="3" width="15.6640625" style="122" customWidth="1"/>
    <col min="4" max="4" width="1.83203125" style="122" customWidth="1"/>
    <col min="5" max="5" width="39.5" style="122" bestFit="1" customWidth="1"/>
    <col min="6" max="6" width="22.83203125" style="122" customWidth="1"/>
    <col min="7" max="7" width="4.83203125" style="122" customWidth="1"/>
    <col min="8" max="8" width="39.5" style="122" customWidth="1"/>
    <col min="9" max="9" width="31" style="122" bestFit="1" customWidth="1"/>
    <col min="10" max="10" width="15.6640625" style="122" customWidth="1"/>
    <col min="11" max="11" width="1.83203125" style="122" customWidth="1"/>
    <col min="12" max="12" width="39.5" style="122" bestFit="1" customWidth="1"/>
    <col min="13" max="13" width="22.83203125" style="122" customWidth="1"/>
    <col min="14" max="16384" width="9.1640625" style="122"/>
  </cols>
  <sheetData>
    <row r="1" spans="1:13" ht="27.75" x14ac:dyDescent="0.4">
      <c r="A1" s="259" t="s">
        <v>302</v>
      </c>
      <c r="B1" s="175"/>
      <c r="C1" s="175"/>
      <c r="D1" s="175"/>
      <c r="E1" s="175"/>
      <c r="F1" s="260" t="s">
        <v>351</v>
      </c>
      <c r="G1" s="261"/>
      <c r="H1" s="261"/>
      <c r="I1" s="261"/>
      <c r="J1" s="175"/>
      <c r="K1" s="175"/>
      <c r="L1" s="175"/>
      <c r="M1" s="175"/>
    </row>
    <row r="2" spans="1:13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1:13" ht="12" thickBot="1" x14ac:dyDescent="0.25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4" spans="1:13" ht="12.6" customHeight="1" x14ac:dyDescent="0.25">
      <c r="A4" s="176" t="s">
        <v>303</v>
      </c>
      <c r="B4" s="124"/>
      <c r="C4" s="124"/>
      <c r="D4" s="124"/>
      <c r="E4" s="124"/>
      <c r="F4" s="125"/>
      <c r="G4" s="175"/>
      <c r="H4" s="176" t="s">
        <v>303</v>
      </c>
      <c r="I4" s="124"/>
      <c r="J4" s="124"/>
      <c r="K4" s="124"/>
      <c r="L4" s="124"/>
      <c r="M4" s="125"/>
    </row>
    <row r="5" spans="1:13" ht="12.6" customHeight="1" x14ac:dyDescent="0.25">
      <c r="A5" s="177" t="s">
        <v>304</v>
      </c>
      <c r="B5" s="126"/>
      <c r="C5" s="126"/>
      <c r="D5" s="126"/>
      <c r="E5" s="126"/>
      <c r="F5" s="127"/>
      <c r="G5" s="175"/>
      <c r="H5" s="177" t="s">
        <v>304</v>
      </c>
      <c r="I5" s="126"/>
      <c r="J5" s="126"/>
      <c r="K5" s="126"/>
      <c r="L5" s="126"/>
      <c r="M5" s="127"/>
    </row>
    <row r="6" spans="1:13" ht="12.6" customHeight="1" thickBot="1" x14ac:dyDescent="0.3">
      <c r="A6" s="178" t="s">
        <v>305</v>
      </c>
      <c r="B6" s="179"/>
      <c r="C6" s="179"/>
      <c r="D6" s="179"/>
      <c r="E6" s="179"/>
      <c r="F6" s="180"/>
      <c r="G6" s="175"/>
      <c r="H6" s="178" t="s">
        <v>305</v>
      </c>
      <c r="I6" s="128"/>
      <c r="J6" s="128"/>
      <c r="K6" s="128"/>
      <c r="L6" s="128"/>
      <c r="M6" s="129"/>
    </row>
    <row r="7" spans="1:13" ht="12" thickBot="1" x14ac:dyDescent="0.25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</row>
    <row r="8" spans="1:13" ht="20.25" x14ac:dyDescent="0.3">
      <c r="A8" s="181" t="s">
        <v>325</v>
      </c>
      <c r="B8" s="182" t="s">
        <v>332</v>
      </c>
      <c r="C8" s="130" t="s">
        <v>328</v>
      </c>
      <c r="D8" s="131"/>
      <c r="E8" s="131"/>
      <c r="F8" s="132"/>
      <c r="G8" s="175"/>
      <c r="H8" s="181" t="s">
        <v>327</v>
      </c>
      <c r="I8" s="182" t="s">
        <v>332</v>
      </c>
      <c r="J8" s="130" t="s">
        <v>328</v>
      </c>
      <c r="K8" s="131"/>
      <c r="L8" s="131"/>
      <c r="M8" s="132"/>
    </row>
    <row r="9" spans="1:13" ht="16.5" thickBot="1" x14ac:dyDescent="0.3">
      <c r="A9" s="183"/>
      <c r="B9" s="184" t="s">
        <v>308</v>
      </c>
      <c r="C9" s="133" t="s">
        <v>329</v>
      </c>
      <c r="D9" s="134"/>
      <c r="E9" s="134"/>
      <c r="F9" s="135"/>
      <c r="G9" s="175"/>
      <c r="H9" s="183"/>
      <c r="I9" s="184" t="s">
        <v>308</v>
      </c>
      <c r="J9" s="133" t="s">
        <v>329</v>
      </c>
      <c r="K9" s="134"/>
      <c r="L9" s="134"/>
      <c r="M9" s="135"/>
    </row>
    <row r="10" spans="1:13" ht="12" thickBot="1" x14ac:dyDescent="0.25">
      <c r="A10" s="185"/>
      <c r="B10" s="186"/>
      <c r="C10" s="186"/>
      <c r="D10" s="186"/>
      <c r="E10" s="186"/>
      <c r="F10" s="175"/>
      <c r="G10" s="175"/>
      <c r="H10" s="185"/>
      <c r="I10" s="186"/>
      <c r="J10" s="186"/>
      <c r="K10" s="186"/>
      <c r="L10" s="186"/>
      <c r="M10" s="175"/>
    </row>
    <row r="11" spans="1:13" ht="20.45" customHeight="1" x14ac:dyDescent="0.3">
      <c r="A11" s="187" t="s">
        <v>331</v>
      </c>
      <c r="B11" s="188"/>
      <c r="C11" s="189"/>
      <c r="D11" s="190"/>
      <c r="E11" s="191" t="s">
        <v>337</v>
      </c>
      <c r="F11" s="192"/>
      <c r="G11" s="175"/>
      <c r="H11" s="187" t="s">
        <v>331</v>
      </c>
      <c r="I11" s="188"/>
      <c r="J11" s="189"/>
      <c r="K11" s="190"/>
      <c r="L11" s="191" t="s">
        <v>337</v>
      </c>
      <c r="M11" s="192"/>
    </row>
    <row r="12" spans="1:13" ht="15.75" x14ac:dyDescent="0.25">
      <c r="A12" s="193" t="s">
        <v>333</v>
      </c>
      <c r="B12" s="194"/>
      <c r="C12" s="138"/>
      <c r="D12" s="195"/>
      <c r="E12" s="196"/>
      <c r="F12" s="197"/>
      <c r="G12" s="175"/>
      <c r="H12" s="193" t="s">
        <v>333</v>
      </c>
      <c r="I12" s="194"/>
      <c r="J12" s="138"/>
      <c r="K12" s="195"/>
      <c r="L12" s="196"/>
      <c r="M12" s="197"/>
    </row>
    <row r="13" spans="1:13" ht="20.25" x14ac:dyDescent="0.3">
      <c r="A13" s="198" t="s">
        <v>334</v>
      </c>
      <c r="B13" s="199"/>
      <c r="C13" s="139"/>
      <c r="D13" s="195"/>
      <c r="E13" s="200" t="s">
        <v>349</v>
      </c>
      <c r="F13" s="201"/>
      <c r="G13" s="175"/>
      <c r="H13" s="198" t="s">
        <v>334</v>
      </c>
      <c r="I13" s="199"/>
      <c r="J13" s="139"/>
      <c r="K13" s="195"/>
      <c r="L13" s="200" t="s">
        <v>338</v>
      </c>
      <c r="M13" s="201"/>
    </row>
    <row r="14" spans="1:13" ht="15.75" x14ac:dyDescent="0.25">
      <c r="A14" s="202" t="s">
        <v>306</v>
      </c>
      <c r="B14" s="203"/>
      <c r="C14" s="204"/>
      <c r="D14" s="195"/>
      <c r="E14" s="205" t="s">
        <v>307</v>
      </c>
      <c r="F14" s="206" t="s">
        <v>336</v>
      </c>
      <c r="G14" s="175"/>
      <c r="H14" s="202" t="s">
        <v>306</v>
      </c>
      <c r="I14" s="203"/>
      <c r="J14" s="204"/>
      <c r="K14" s="195"/>
      <c r="L14" s="205" t="s">
        <v>307</v>
      </c>
      <c r="M14" s="206" t="s">
        <v>336</v>
      </c>
    </row>
    <row r="15" spans="1:13" ht="15" x14ac:dyDescent="0.2">
      <c r="A15" s="207" t="s">
        <v>307</v>
      </c>
      <c r="B15" s="208" t="s">
        <v>335</v>
      </c>
      <c r="C15" s="209"/>
      <c r="D15" s="195"/>
      <c r="E15" s="210"/>
      <c r="F15" s="211" t="s">
        <v>339</v>
      </c>
      <c r="G15" s="175"/>
      <c r="H15" s="207" t="s">
        <v>307</v>
      </c>
      <c r="I15" s="208" t="s">
        <v>335</v>
      </c>
      <c r="J15" s="209"/>
      <c r="K15" s="195"/>
      <c r="L15" s="210"/>
      <c r="M15" s="211" t="s">
        <v>339</v>
      </c>
    </row>
    <row r="16" spans="1:13" ht="15.75" x14ac:dyDescent="0.25">
      <c r="A16" s="212" t="s">
        <v>309</v>
      </c>
      <c r="B16" s="140" t="s">
        <v>313</v>
      </c>
      <c r="C16" s="141"/>
      <c r="D16" s="195"/>
      <c r="E16" s="213"/>
      <c r="F16" s="214"/>
      <c r="G16" s="175"/>
      <c r="H16" s="212" t="s">
        <v>309</v>
      </c>
      <c r="I16" s="140" t="s">
        <v>313</v>
      </c>
      <c r="J16" s="141"/>
      <c r="K16" s="195"/>
      <c r="L16" s="213"/>
      <c r="M16" s="214"/>
    </row>
    <row r="17" spans="1:27" ht="15.75" x14ac:dyDescent="0.25">
      <c r="A17" s="215" t="s">
        <v>310</v>
      </c>
      <c r="B17" s="142" t="s">
        <v>314</v>
      </c>
      <c r="C17" s="143"/>
      <c r="D17" s="195"/>
      <c r="E17" s="216" t="s">
        <v>101</v>
      </c>
      <c r="F17" s="217">
        <f>SUM(C16:C18)</f>
        <v>0</v>
      </c>
      <c r="G17" s="175"/>
      <c r="H17" s="215" t="s">
        <v>310</v>
      </c>
      <c r="I17" s="142" t="s">
        <v>314</v>
      </c>
      <c r="J17" s="143"/>
      <c r="K17" s="195"/>
      <c r="L17" s="216" t="s">
        <v>101</v>
      </c>
      <c r="M17" s="217">
        <f>SUM(J16:J18)</f>
        <v>0</v>
      </c>
    </row>
    <row r="18" spans="1:27" ht="15.75" x14ac:dyDescent="0.25">
      <c r="A18" s="218" t="s">
        <v>311</v>
      </c>
      <c r="B18" s="144" t="s">
        <v>315</v>
      </c>
      <c r="C18" s="145"/>
      <c r="D18" s="195"/>
      <c r="E18" s="219"/>
      <c r="F18" s="220"/>
      <c r="G18" s="175"/>
      <c r="H18" s="218" t="s">
        <v>311</v>
      </c>
      <c r="I18" s="144" t="s">
        <v>315</v>
      </c>
      <c r="J18" s="145"/>
      <c r="K18" s="195"/>
      <c r="L18" s="219"/>
      <c r="M18" s="220"/>
      <c r="X18" s="146" t="s">
        <v>320</v>
      </c>
      <c r="Y18" s="137"/>
      <c r="Z18" s="137"/>
      <c r="AA18" s="147" t="s">
        <v>322</v>
      </c>
    </row>
    <row r="19" spans="1:27" ht="15.75" x14ac:dyDescent="0.25">
      <c r="A19" s="221" t="s">
        <v>99</v>
      </c>
      <c r="B19" s="148" t="s">
        <v>99</v>
      </c>
      <c r="C19" s="149"/>
      <c r="D19" s="195"/>
      <c r="E19" s="222" t="s">
        <v>99</v>
      </c>
      <c r="F19" s="223">
        <f>C19</f>
        <v>0</v>
      </c>
      <c r="G19" s="175"/>
      <c r="H19" s="221" t="s">
        <v>99</v>
      </c>
      <c r="I19" s="148" t="s">
        <v>99</v>
      </c>
      <c r="J19" s="149"/>
      <c r="K19" s="195"/>
      <c r="L19" s="222" t="s">
        <v>99</v>
      </c>
      <c r="M19" s="223">
        <f>J19</f>
        <v>0</v>
      </c>
      <c r="X19" s="150" t="s">
        <v>307</v>
      </c>
      <c r="Y19" s="136" t="s">
        <v>312</v>
      </c>
      <c r="Z19" s="136" t="s">
        <v>321</v>
      </c>
      <c r="AA19" s="147" t="s">
        <v>317</v>
      </c>
    </row>
    <row r="20" spans="1:27" ht="16.5" thickBot="1" x14ac:dyDescent="0.3">
      <c r="A20" s="221" t="s">
        <v>316</v>
      </c>
      <c r="B20" s="148" t="s">
        <v>100</v>
      </c>
      <c r="C20" s="149"/>
      <c r="D20" s="195"/>
      <c r="E20" s="224" t="s">
        <v>100</v>
      </c>
      <c r="F20" s="223">
        <f>C20</f>
        <v>0</v>
      </c>
      <c r="G20" s="175"/>
      <c r="H20" s="221" t="s">
        <v>316</v>
      </c>
      <c r="I20" s="148" t="s">
        <v>100</v>
      </c>
      <c r="J20" s="149"/>
      <c r="K20" s="195"/>
      <c r="L20" s="224" t="s">
        <v>100</v>
      </c>
      <c r="M20" s="223">
        <f>J20</f>
        <v>0</v>
      </c>
      <c r="X20" s="151"/>
      <c r="Y20" s="137"/>
      <c r="Z20" s="137"/>
      <c r="AA20" s="147" t="s">
        <v>319</v>
      </c>
    </row>
    <row r="21" spans="1:27" ht="15.75" x14ac:dyDescent="0.25">
      <c r="A21" s="225"/>
      <c r="B21" s="222" t="s">
        <v>318</v>
      </c>
      <c r="C21" s="226">
        <f>SUM(C16:C20)</f>
        <v>0</v>
      </c>
      <c r="D21" s="195"/>
      <c r="E21" s="222" t="s">
        <v>318</v>
      </c>
      <c r="F21" s="227">
        <f>SUM(F17:F20)</f>
        <v>0</v>
      </c>
      <c r="G21" s="175"/>
      <c r="H21" s="225"/>
      <c r="I21" s="222" t="s">
        <v>318</v>
      </c>
      <c r="J21" s="226">
        <f>SUM(J16:J20)</f>
        <v>0</v>
      </c>
      <c r="K21" s="195"/>
      <c r="L21" s="222" t="s">
        <v>318</v>
      </c>
      <c r="M21" s="227">
        <f>SUM(M17:M20)</f>
        <v>0</v>
      </c>
      <c r="W21" s="137"/>
      <c r="X21" s="150"/>
      <c r="Y21" s="152"/>
      <c r="Z21" s="153">
        <f>ROUND(C16*$Q$10,4)</f>
        <v>0</v>
      </c>
      <c r="AA21" s="154"/>
    </row>
    <row r="22" spans="1:27" ht="16.5" thickBot="1" x14ac:dyDescent="0.3">
      <c r="A22" s="228"/>
      <c r="B22" s="229" t="s">
        <v>330</v>
      </c>
      <c r="C22" s="230" t="str">
        <f>IF(C21=0,"",IF(C21=100%,"OK","erro"))</f>
        <v/>
      </c>
      <c r="D22" s="231"/>
      <c r="E22" s="229" t="s">
        <v>330</v>
      </c>
      <c r="F22" s="230" t="str">
        <f>IF(F21=0,"",IF(F21=100%,"OK","erro"))</f>
        <v/>
      </c>
      <c r="G22" s="175"/>
      <c r="H22" s="228"/>
      <c r="I22" s="229" t="s">
        <v>330</v>
      </c>
      <c r="J22" s="230" t="str">
        <f>IF(J21=100%,"OK","erro")</f>
        <v>erro</v>
      </c>
      <c r="K22" s="231"/>
      <c r="L22" s="229" t="s">
        <v>330</v>
      </c>
      <c r="M22" s="230" t="str">
        <f>IF(M21=0,"",IF(M21=100%,"OK","erro"))</f>
        <v/>
      </c>
      <c r="W22" s="137"/>
      <c r="X22" s="150"/>
      <c r="Y22" s="155" t="s">
        <v>101</v>
      </c>
      <c r="Z22" s="156">
        <f>ROUND(C17*$Q$10,4)</f>
        <v>0</v>
      </c>
      <c r="AA22" s="157">
        <f>SUM(Z21:Z23)</f>
        <v>0</v>
      </c>
    </row>
    <row r="23" spans="1:27" ht="12" thickBot="1" x14ac:dyDescent="0.25">
      <c r="A23" s="186"/>
      <c r="B23" s="175"/>
      <c r="C23" s="175"/>
      <c r="D23" s="175"/>
      <c r="E23" s="175"/>
      <c r="F23" s="175"/>
      <c r="G23" s="175"/>
      <c r="H23" s="186"/>
      <c r="I23" s="175"/>
      <c r="J23" s="175"/>
      <c r="K23" s="175"/>
      <c r="L23" s="175"/>
      <c r="M23" s="175"/>
      <c r="W23" s="137"/>
      <c r="X23" s="150"/>
      <c r="Y23" s="158"/>
      <c r="Z23" s="159">
        <f>ROUND(C18*$Q$10,4)</f>
        <v>0</v>
      </c>
      <c r="AA23" s="160"/>
    </row>
    <row r="24" spans="1:27" ht="20.25" x14ac:dyDescent="0.3">
      <c r="A24" s="232"/>
      <c r="B24" s="233"/>
      <c r="C24" s="234"/>
      <c r="D24" s="175"/>
      <c r="E24" s="187" t="s">
        <v>340</v>
      </c>
      <c r="F24" s="192"/>
      <c r="G24" s="175"/>
      <c r="H24" s="232"/>
      <c r="I24" s="233"/>
      <c r="J24" s="234"/>
      <c r="K24" s="175"/>
      <c r="L24" s="187" t="s">
        <v>340</v>
      </c>
      <c r="M24" s="192"/>
      <c r="W24" s="137"/>
      <c r="X24" s="150"/>
      <c r="Y24" s="161" t="s">
        <v>99</v>
      </c>
      <c r="Z24" s="162">
        <f>ROUND(C19*$Q$10,4)</f>
        <v>0</v>
      </c>
      <c r="AA24" s="163">
        <f>Z24</f>
        <v>0</v>
      </c>
    </row>
    <row r="25" spans="1:27" x14ac:dyDescent="0.2">
      <c r="A25" s="196"/>
      <c r="B25" s="195"/>
      <c r="C25" s="235"/>
      <c r="D25" s="175"/>
      <c r="E25" s="236"/>
      <c r="F25" s="197"/>
      <c r="G25" s="175"/>
      <c r="H25" s="196"/>
      <c r="I25" s="195"/>
      <c r="J25" s="235"/>
      <c r="K25" s="175"/>
      <c r="L25" s="236"/>
      <c r="M25" s="197"/>
      <c r="W25" s="137"/>
      <c r="X25" s="150"/>
      <c r="Y25" s="164" t="s">
        <v>100</v>
      </c>
      <c r="Z25" s="165">
        <f>ROUND(C20*$Q$10,4)</f>
        <v>0</v>
      </c>
      <c r="AA25" s="166">
        <f>Z25</f>
        <v>0</v>
      </c>
    </row>
    <row r="26" spans="1:27" ht="20.25" x14ac:dyDescent="0.3">
      <c r="A26" s="237" t="s">
        <v>341</v>
      </c>
      <c r="B26" s="195"/>
      <c r="C26" s="235"/>
      <c r="D26" s="175"/>
      <c r="E26" s="238" t="s">
        <v>348</v>
      </c>
      <c r="F26" s="201"/>
      <c r="G26" s="175"/>
      <c r="H26" s="237" t="s">
        <v>341</v>
      </c>
      <c r="I26" s="195"/>
      <c r="J26" s="235"/>
      <c r="K26" s="175"/>
      <c r="L26" s="238" t="s">
        <v>348</v>
      </c>
      <c r="M26" s="201"/>
      <c r="W26" s="137"/>
      <c r="X26" s="167"/>
      <c r="Y26" s="164" t="s">
        <v>324</v>
      </c>
      <c r="Z26" s="165">
        <f>O10</f>
        <v>0</v>
      </c>
      <c r="AA26" s="166">
        <f>Z26</f>
        <v>0</v>
      </c>
    </row>
    <row r="27" spans="1:27" ht="16.5" thickBot="1" x14ac:dyDescent="0.3">
      <c r="A27" s="237"/>
      <c r="B27" s="195"/>
      <c r="C27" s="235"/>
      <c r="D27" s="175"/>
      <c r="E27" s="239" t="s">
        <v>307</v>
      </c>
      <c r="F27" s="240" t="s">
        <v>336</v>
      </c>
      <c r="G27" s="175"/>
      <c r="H27" s="237"/>
      <c r="I27" s="195"/>
      <c r="J27" s="235"/>
      <c r="K27" s="175"/>
      <c r="L27" s="239" t="s">
        <v>307</v>
      </c>
      <c r="M27" s="240" t="s">
        <v>336</v>
      </c>
      <c r="W27" s="137"/>
      <c r="X27" s="168"/>
      <c r="Y27" s="169" t="s">
        <v>323</v>
      </c>
      <c r="Z27" s="170">
        <f>SUM(Z21:Z26)</f>
        <v>0</v>
      </c>
      <c r="AA27" s="171">
        <f>SUM(AA22:AA26)</f>
        <v>0</v>
      </c>
    </row>
    <row r="28" spans="1:27" ht="15.75" x14ac:dyDescent="0.25">
      <c r="A28" s="237" t="s">
        <v>342</v>
      </c>
      <c r="B28" s="195"/>
      <c r="C28" s="235"/>
      <c r="D28" s="175"/>
      <c r="E28" s="241"/>
      <c r="F28" s="242" t="s">
        <v>339</v>
      </c>
      <c r="G28" s="175"/>
      <c r="H28" s="237" t="s">
        <v>342</v>
      </c>
      <c r="I28" s="195"/>
      <c r="J28" s="235"/>
      <c r="K28" s="175"/>
      <c r="L28" s="241"/>
      <c r="M28" s="242" t="s">
        <v>339</v>
      </c>
      <c r="W28" s="137"/>
      <c r="X28" s="172"/>
      <c r="Y28" s="173" t="s">
        <v>330</v>
      </c>
      <c r="Z28" s="174" t="str">
        <f>IF(Z27=100%,"OK","erro")</f>
        <v>erro</v>
      </c>
      <c r="AA28" s="174" t="str">
        <f>IF(AA27=1,"OK","erro")</f>
        <v>erro</v>
      </c>
    </row>
    <row r="29" spans="1:27" ht="15.75" x14ac:dyDescent="0.25">
      <c r="A29" s="237" t="s">
        <v>343</v>
      </c>
      <c r="B29" s="195"/>
      <c r="C29" s="235"/>
      <c r="D29" s="175"/>
      <c r="E29" s="243"/>
      <c r="F29" s="214"/>
      <c r="G29" s="175"/>
      <c r="H29" s="237" t="s">
        <v>343</v>
      </c>
      <c r="I29" s="195"/>
      <c r="J29" s="235"/>
      <c r="K29" s="175"/>
      <c r="L29" s="243"/>
      <c r="M29" s="214"/>
      <c r="W29" s="137"/>
      <c r="X29" s="123"/>
    </row>
    <row r="30" spans="1:27" ht="15.75" x14ac:dyDescent="0.25">
      <c r="A30" s="237" t="s">
        <v>344</v>
      </c>
      <c r="B30" s="195"/>
      <c r="C30" s="235"/>
      <c r="D30" s="175"/>
      <c r="E30" s="244" t="s">
        <v>101</v>
      </c>
      <c r="F30" s="245">
        <f>ROUND($C$32*F17,4)</f>
        <v>0</v>
      </c>
      <c r="G30" s="175"/>
      <c r="H30" s="237" t="s">
        <v>344</v>
      </c>
      <c r="I30" s="195"/>
      <c r="J30" s="235"/>
      <c r="K30" s="175"/>
      <c r="L30" s="244" t="s">
        <v>101</v>
      </c>
      <c r="M30" s="245">
        <f>ROUND($J$32*M17,4)</f>
        <v>0</v>
      </c>
    </row>
    <row r="31" spans="1:27" x14ac:dyDescent="0.2">
      <c r="A31" s="196"/>
      <c r="B31" s="195"/>
      <c r="C31" s="235"/>
      <c r="D31" s="175"/>
      <c r="E31" s="246"/>
      <c r="F31" s="220"/>
      <c r="G31" s="175"/>
      <c r="H31" s="196"/>
      <c r="I31" s="195"/>
      <c r="J31" s="235"/>
      <c r="K31" s="175"/>
      <c r="L31" s="246"/>
      <c r="M31" s="220"/>
    </row>
    <row r="32" spans="1:27" ht="15.75" x14ac:dyDescent="0.25">
      <c r="A32" s="247" t="s">
        <v>345</v>
      </c>
      <c r="B32" s="248"/>
      <c r="C32" s="226">
        <f>100%-C13</f>
        <v>1</v>
      </c>
      <c r="D32" s="175"/>
      <c r="E32" s="249" t="s">
        <v>99</v>
      </c>
      <c r="F32" s="250">
        <f>ROUND($C$32*F19,4)</f>
        <v>0</v>
      </c>
      <c r="G32" s="175"/>
      <c r="H32" s="247" t="s">
        <v>345</v>
      </c>
      <c r="I32" s="248"/>
      <c r="J32" s="226">
        <f>100%-J13</f>
        <v>1</v>
      </c>
      <c r="K32" s="175"/>
      <c r="L32" s="249" t="s">
        <v>99</v>
      </c>
      <c r="M32" s="250">
        <f>ROUND($J$32*M19,4)</f>
        <v>0</v>
      </c>
    </row>
    <row r="33" spans="1:13" ht="15.75" x14ac:dyDescent="0.25">
      <c r="A33" s="186"/>
      <c r="B33" s="251"/>
      <c r="C33" s="252"/>
      <c r="D33" s="253">
        <f>SUM(D28:D32)</f>
        <v>0</v>
      </c>
      <c r="E33" s="254" t="s">
        <v>100</v>
      </c>
      <c r="F33" s="250">
        <f>ROUND($C$32*F20,4)</f>
        <v>0</v>
      </c>
      <c r="G33" s="175"/>
      <c r="H33" s="186"/>
      <c r="I33" s="251"/>
      <c r="J33" s="252"/>
      <c r="K33" s="253">
        <f>SUM(K28:K32)</f>
        <v>0</v>
      </c>
      <c r="L33" s="254" t="s">
        <v>100</v>
      </c>
      <c r="M33" s="250">
        <f>ROUND($J$32*M20,4)</f>
        <v>0</v>
      </c>
    </row>
    <row r="34" spans="1:13" ht="15.75" x14ac:dyDescent="0.25">
      <c r="A34" s="186"/>
      <c r="B34" s="251"/>
      <c r="C34" s="252"/>
      <c r="D34" s="255"/>
      <c r="E34" s="256" t="s">
        <v>346</v>
      </c>
      <c r="F34" s="250">
        <f>C13</f>
        <v>0</v>
      </c>
      <c r="G34" s="175"/>
      <c r="H34" s="186"/>
      <c r="I34" s="251"/>
      <c r="J34" s="252"/>
      <c r="K34" s="255"/>
      <c r="L34" s="256" t="s">
        <v>346</v>
      </c>
      <c r="M34" s="250">
        <f>J13</f>
        <v>0</v>
      </c>
    </row>
    <row r="35" spans="1:13" ht="15.75" x14ac:dyDescent="0.25">
      <c r="A35" s="186"/>
      <c r="B35" s="251"/>
      <c r="C35" s="252"/>
      <c r="D35" s="186"/>
      <c r="E35" s="256" t="s">
        <v>347</v>
      </c>
      <c r="F35" s="250">
        <f>SUM(F30:F34)</f>
        <v>0</v>
      </c>
      <c r="G35" s="175"/>
      <c r="H35" s="186"/>
      <c r="I35" s="251"/>
      <c r="J35" s="252"/>
      <c r="K35" s="186"/>
      <c r="L35" s="256" t="s">
        <v>347</v>
      </c>
      <c r="M35" s="250">
        <f>SUM(M30:M34)</f>
        <v>0</v>
      </c>
    </row>
    <row r="36" spans="1:13" ht="16.5" thickBot="1" x14ac:dyDescent="0.3">
      <c r="A36" s="186"/>
      <c r="B36" s="251"/>
      <c r="C36" s="252"/>
      <c r="D36" s="186"/>
      <c r="E36" s="257" t="s">
        <v>330</v>
      </c>
      <c r="F36" s="258" t="str">
        <f>IF(F35=0,"",IF(F35=100%,"OK","erro"))</f>
        <v/>
      </c>
      <c r="G36" s="175"/>
      <c r="H36" s="186"/>
      <c r="I36" s="251"/>
      <c r="J36" s="252"/>
      <c r="K36" s="186"/>
      <c r="L36" s="257" t="s">
        <v>330</v>
      </c>
      <c r="M36" s="258" t="str">
        <f>IF(M35=0,"",IF(M35=100%,"OK","erro"))</f>
        <v/>
      </c>
    </row>
    <row r="37" spans="1:13" x14ac:dyDescent="0.2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</row>
    <row r="38" spans="1:13" x14ac:dyDescent="0.2">
      <c r="A38" s="175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</row>
    <row r="39" spans="1:13" ht="12" thickBot="1" x14ac:dyDescent="0.25">
      <c r="A39" s="175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</row>
    <row r="40" spans="1:13" ht="15.75" x14ac:dyDescent="0.25">
      <c r="A40" s="176" t="s">
        <v>303</v>
      </c>
      <c r="B40" s="124"/>
      <c r="C40" s="124"/>
      <c r="D40" s="124"/>
      <c r="E40" s="124"/>
      <c r="F40" s="125"/>
      <c r="G40" s="175"/>
      <c r="H40" s="176" t="s">
        <v>303</v>
      </c>
      <c r="I40" s="124"/>
      <c r="J40" s="124"/>
      <c r="K40" s="124"/>
      <c r="L40" s="124"/>
      <c r="M40" s="125"/>
    </row>
    <row r="41" spans="1:13" ht="15.75" x14ac:dyDescent="0.25">
      <c r="A41" s="177" t="s">
        <v>304</v>
      </c>
      <c r="B41" s="126"/>
      <c r="C41" s="126"/>
      <c r="D41" s="126"/>
      <c r="E41" s="126"/>
      <c r="F41" s="127"/>
      <c r="G41" s="175"/>
      <c r="H41" s="177" t="s">
        <v>304</v>
      </c>
      <c r="I41" s="126"/>
      <c r="J41" s="126"/>
      <c r="K41" s="126"/>
      <c r="L41" s="126"/>
      <c r="M41" s="127"/>
    </row>
    <row r="42" spans="1:13" ht="16.5" thickBot="1" x14ac:dyDescent="0.3">
      <c r="A42" s="178" t="s">
        <v>305</v>
      </c>
      <c r="B42" s="128"/>
      <c r="C42" s="128"/>
      <c r="D42" s="128"/>
      <c r="E42" s="128"/>
      <c r="F42" s="129"/>
      <c r="G42" s="175"/>
      <c r="H42" s="178" t="s">
        <v>305</v>
      </c>
      <c r="I42" s="179"/>
      <c r="J42" s="179"/>
      <c r="K42" s="179"/>
      <c r="L42" s="179"/>
      <c r="M42" s="180"/>
    </row>
    <row r="43" spans="1:13" ht="12" thickBot="1" x14ac:dyDescent="0.25">
      <c r="A43" s="175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</row>
    <row r="44" spans="1:13" ht="20.25" x14ac:dyDescent="0.3">
      <c r="A44" s="181" t="s">
        <v>326</v>
      </c>
      <c r="B44" s="182" t="s">
        <v>332</v>
      </c>
      <c r="C44" s="130" t="s">
        <v>328</v>
      </c>
      <c r="D44" s="131"/>
      <c r="E44" s="131"/>
      <c r="F44" s="132"/>
      <c r="G44" s="175"/>
      <c r="H44" s="181" t="s">
        <v>350</v>
      </c>
      <c r="I44" s="182" t="s">
        <v>332</v>
      </c>
      <c r="J44" s="130" t="s">
        <v>328</v>
      </c>
      <c r="K44" s="131"/>
      <c r="L44" s="131"/>
      <c r="M44" s="132"/>
    </row>
    <row r="45" spans="1:13" ht="16.5" thickBot="1" x14ac:dyDescent="0.3">
      <c r="A45" s="183"/>
      <c r="B45" s="184" t="s">
        <v>308</v>
      </c>
      <c r="C45" s="133" t="s">
        <v>329</v>
      </c>
      <c r="D45" s="134"/>
      <c r="E45" s="134"/>
      <c r="F45" s="135"/>
      <c r="G45" s="175"/>
      <c r="H45" s="183"/>
      <c r="I45" s="184" t="s">
        <v>308</v>
      </c>
      <c r="J45" s="133" t="s">
        <v>329</v>
      </c>
      <c r="K45" s="134"/>
      <c r="L45" s="134"/>
      <c r="M45" s="135"/>
    </row>
    <row r="46" spans="1:13" ht="12" thickBot="1" x14ac:dyDescent="0.25">
      <c r="A46" s="185"/>
      <c r="B46" s="186"/>
      <c r="C46" s="186"/>
      <c r="D46" s="186"/>
      <c r="E46" s="186"/>
      <c r="F46" s="175"/>
      <c r="G46" s="175"/>
      <c r="H46" s="185"/>
      <c r="I46" s="186"/>
      <c r="J46" s="186"/>
      <c r="K46" s="186"/>
      <c r="L46" s="186"/>
      <c r="M46" s="175"/>
    </row>
    <row r="47" spans="1:13" ht="20.25" x14ac:dyDescent="0.3">
      <c r="A47" s="187" t="s">
        <v>331</v>
      </c>
      <c r="B47" s="188"/>
      <c r="C47" s="189"/>
      <c r="D47" s="190"/>
      <c r="E47" s="191" t="s">
        <v>337</v>
      </c>
      <c r="F47" s="192"/>
      <c r="G47" s="175"/>
      <c r="H47" s="187" t="s">
        <v>331</v>
      </c>
      <c r="I47" s="188"/>
      <c r="J47" s="189"/>
      <c r="K47" s="190"/>
      <c r="L47" s="191" t="s">
        <v>337</v>
      </c>
      <c r="M47" s="192"/>
    </row>
    <row r="48" spans="1:13" ht="15.75" x14ac:dyDescent="0.25">
      <c r="A48" s="193" t="s">
        <v>333</v>
      </c>
      <c r="B48" s="194"/>
      <c r="C48" s="138"/>
      <c r="D48" s="195"/>
      <c r="E48" s="196"/>
      <c r="F48" s="197"/>
      <c r="G48" s="175"/>
      <c r="H48" s="193" t="s">
        <v>333</v>
      </c>
      <c r="I48" s="194"/>
      <c r="J48" s="138"/>
      <c r="K48" s="195"/>
      <c r="L48" s="196"/>
      <c r="M48" s="197"/>
    </row>
    <row r="49" spans="1:13" ht="20.25" x14ac:dyDescent="0.3">
      <c r="A49" s="198" t="s">
        <v>334</v>
      </c>
      <c r="B49" s="199"/>
      <c r="C49" s="139"/>
      <c r="D49" s="195"/>
      <c r="E49" s="200" t="s">
        <v>349</v>
      </c>
      <c r="F49" s="201"/>
      <c r="G49" s="175"/>
      <c r="H49" s="198" t="s">
        <v>334</v>
      </c>
      <c r="I49" s="199"/>
      <c r="J49" s="139"/>
      <c r="K49" s="195"/>
      <c r="L49" s="200" t="s">
        <v>338</v>
      </c>
      <c r="M49" s="201"/>
    </row>
    <row r="50" spans="1:13" ht="15.75" x14ac:dyDescent="0.25">
      <c r="A50" s="202" t="s">
        <v>306</v>
      </c>
      <c r="B50" s="203"/>
      <c r="C50" s="204"/>
      <c r="D50" s="195"/>
      <c r="E50" s="205" t="s">
        <v>307</v>
      </c>
      <c r="F50" s="206" t="s">
        <v>336</v>
      </c>
      <c r="G50" s="175"/>
      <c r="H50" s="202" t="s">
        <v>306</v>
      </c>
      <c r="I50" s="203"/>
      <c r="J50" s="204"/>
      <c r="K50" s="195"/>
      <c r="L50" s="205" t="s">
        <v>307</v>
      </c>
      <c r="M50" s="206" t="s">
        <v>336</v>
      </c>
    </row>
    <row r="51" spans="1:13" ht="15" x14ac:dyDescent="0.2">
      <c r="A51" s="207" t="s">
        <v>307</v>
      </c>
      <c r="B51" s="208" t="s">
        <v>335</v>
      </c>
      <c r="C51" s="209"/>
      <c r="D51" s="195"/>
      <c r="E51" s="210"/>
      <c r="F51" s="211" t="s">
        <v>339</v>
      </c>
      <c r="G51" s="175"/>
      <c r="H51" s="207" t="s">
        <v>307</v>
      </c>
      <c r="I51" s="208" t="s">
        <v>335</v>
      </c>
      <c r="J51" s="209"/>
      <c r="K51" s="195"/>
      <c r="L51" s="210"/>
      <c r="M51" s="211" t="s">
        <v>339</v>
      </c>
    </row>
    <row r="52" spans="1:13" ht="15.75" x14ac:dyDescent="0.25">
      <c r="A52" s="212" t="s">
        <v>309</v>
      </c>
      <c r="B52" s="140" t="s">
        <v>313</v>
      </c>
      <c r="C52" s="141"/>
      <c r="D52" s="195"/>
      <c r="E52" s="213"/>
      <c r="F52" s="214"/>
      <c r="G52" s="175"/>
      <c r="H52" s="212" t="s">
        <v>309</v>
      </c>
      <c r="I52" s="140" t="s">
        <v>313</v>
      </c>
      <c r="J52" s="141"/>
      <c r="K52" s="195"/>
      <c r="L52" s="213"/>
      <c r="M52" s="214"/>
    </row>
    <row r="53" spans="1:13" ht="15.75" x14ac:dyDescent="0.25">
      <c r="A53" s="215" t="s">
        <v>310</v>
      </c>
      <c r="B53" s="142" t="s">
        <v>314</v>
      </c>
      <c r="C53" s="143"/>
      <c r="D53" s="195"/>
      <c r="E53" s="216" t="s">
        <v>101</v>
      </c>
      <c r="F53" s="217">
        <f>SUM(C52:C54)</f>
        <v>0</v>
      </c>
      <c r="G53" s="175"/>
      <c r="H53" s="215" t="s">
        <v>310</v>
      </c>
      <c r="I53" s="142" t="s">
        <v>314</v>
      </c>
      <c r="J53" s="143"/>
      <c r="K53" s="195"/>
      <c r="L53" s="216" t="s">
        <v>101</v>
      </c>
      <c r="M53" s="217">
        <f>SUM(J52:J54)</f>
        <v>0</v>
      </c>
    </row>
    <row r="54" spans="1:13" ht="15.75" x14ac:dyDescent="0.25">
      <c r="A54" s="218" t="s">
        <v>311</v>
      </c>
      <c r="B54" s="144" t="s">
        <v>315</v>
      </c>
      <c r="C54" s="145"/>
      <c r="D54" s="195"/>
      <c r="E54" s="219"/>
      <c r="F54" s="220"/>
      <c r="G54" s="175"/>
      <c r="H54" s="218" t="s">
        <v>311</v>
      </c>
      <c r="I54" s="144" t="s">
        <v>315</v>
      </c>
      <c r="J54" s="145"/>
      <c r="K54" s="195"/>
      <c r="L54" s="219"/>
      <c r="M54" s="220"/>
    </row>
    <row r="55" spans="1:13" ht="15.75" x14ac:dyDescent="0.25">
      <c r="A55" s="221" t="s">
        <v>99</v>
      </c>
      <c r="B55" s="148" t="s">
        <v>99</v>
      </c>
      <c r="C55" s="149"/>
      <c r="D55" s="195"/>
      <c r="E55" s="222" t="s">
        <v>99</v>
      </c>
      <c r="F55" s="223">
        <f>C55</f>
        <v>0</v>
      </c>
      <c r="G55" s="175"/>
      <c r="H55" s="221" t="s">
        <v>99</v>
      </c>
      <c r="I55" s="148" t="s">
        <v>99</v>
      </c>
      <c r="J55" s="149"/>
      <c r="K55" s="195"/>
      <c r="L55" s="222" t="s">
        <v>99</v>
      </c>
      <c r="M55" s="223">
        <f>J55</f>
        <v>0</v>
      </c>
    </row>
    <row r="56" spans="1:13" ht="15.75" x14ac:dyDescent="0.25">
      <c r="A56" s="221" t="s">
        <v>316</v>
      </c>
      <c r="B56" s="148" t="s">
        <v>100</v>
      </c>
      <c r="C56" s="149"/>
      <c r="D56" s="195"/>
      <c r="E56" s="224" t="s">
        <v>100</v>
      </c>
      <c r="F56" s="223">
        <f>C56</f>
        <v>0</v>
      </c>
      <c r="G56" s="175"/>
      <c r="H56" s="221" t="s">
        <v>316</v>
      </c>
      <c r="I56" s="148" t="s">
        <v>100</v>
      </c>
      <c r="J56" s="149"/>
      <c r="K56" s="195"/>
      <c r="L56" s="224" t="s">
        <v>100</v>
      </c>
      <c r="M56" s="223">
        <f>J56</f>
        <v>0</v>
      </c>
    </row>
    <row r="57" spans="1:13" ht="15.75" x14ac:dyDescent="0.25">
      <c r="A57" s="225"/>
      <c r="B57" s="222" t="s">
        <v>318</v>
      </c>
      <c r="C57" s="226">
        <f>SUM(C52:C56)</f>
        <v>0</v>
      </c>
      <c r="D57" s="195"/>
      <c r="E57" s="222" t="s">
        <v>318</v>
      </c>
      <c r="F57" s="227">
        <f>SUM(F53:F56)</f>
        <v>0</v>
      </c>
      <c r="G57" s="175"/>
      <c r="H57" s="225"/>
      <c r="I57" s="222" t="s">
        <v>318</v>
      </c>
      <c r="J57" s="226">
        <f>SUM(J52:J56)</f>
        <v>0</v>
      </c>
      <c r="K57" s="195"/>
      <c r="L57" s="222" t="s">
        <v>318</v>
      </c>
      <c r="M57" s="227">
        <f>SUM(M53:M56)</f>
        <v>0</v>
      </c>
    </row>
    <row r="58" spans="1:13" ht="16.5" thickBot="1" x14ac:dyDescent="0.3">
      <c r="A58" s="228"/>
      <c r="B58" s="229" t="s">
        <v>330</v>
      </c>
      <c r="C58" s="230" t="str">
        <f>IF(C57=0,"",IF(C57=100%,"OK","erro"))</f>
        <v/>
      </c>
      <c r="D58" s="231"/>
      <c r="E58" s="229" t="s">
        <v>330</v>
      </c>
      <c r="F58" s="230" t="str">
        <f>IF(F57=0,"",IF(F57=100%,"OK","erro"))</f>
        <v/>
      </c>
      <c r="G58" s="175"/>
      <c r="H58" s="228"/>
      <c r="I58" s="229" t="s">
        <v>330</v>
      </c>
      <c r="J58" s="230" t="str">
        <f>IF(J57=100%,"OK","erro")</f>
        <v>erro</v>
      </c>
      <c r="K58" s="231"/>
      <c r="L58" s="229" t="s">
        <v>330</v>
      </c>
      <c r="M58" s="230" t="str">
        <f>IF(M57=0,"",IF(M57=100%,"OK","erro"))</f>
        <v/>
      </c>
    </row>
    <row r="59" spans="1:13" ht="12" thickBot="1" x14ac:dyDescent="0.25">
      <c r="A59" s="186"/>
      <c r="B59" s="175"/>
      <c r="C59" s="175"/>
      <c r="D59" s="175"/>
      <c r="E59" s="175"/>
      <c r="F59" s="175"/>
      <c r="G59" s="175"/>
      <c r="H59" s="186"/>
      <c r="I59" s="175"/>
      <c r="J59" s="175"/>
      <c r="K59" s="175"/>
      <c r="L59" s="175"/>
      <c r="M59" s="175"/>
    </row>
    <row r="60" spans="1:13" ht="20.25" x14ac:dyDescent="0.3">
      <c r="A60" s="232"/>
      <c r="B60" s="233"/>
      <c r="C60" s="234"/>
      <c r="D60" s="175"/>
      <c r="E60" s="187" t="s">
        <v>340</v>
      </c>
      <c r="F60" s="192"/>
      <c r="G60" s="175"/>
      <c r="H60" s="232"/>
      <c r="I60" s="233"/>
      <c r="J60" s="234"/>
      <c r="K60" s="175"/>
      <c r="L60" s="187" t="s">
        <v>340</v>
      </c>
      <c r="M60" s="192"/>
    </row>
    <row r="61" spans="1:13" x14ac:dyDescent="0.2">
      <c r="A61" s="196"/>
      <c r="B61" s="195"/>
      <c r="C61" s="235"/>
      <c r="D61" s="175"/>
      <c r="E61" s="236"/>
      <c r="F61" s="197"/>
      <c r="G61" s="175"/>
      <c r="H61" s="196"/>
      <c r="I61" s="195"/>
      <c r="J61" s="235"/>
      <c r="K61" s="175"/>
      <c r="L61" s="236"/>
      <c r="M61" s="197"/>
    </row>
    <row r="62" spans="1:13" ht="20.25" x14ac:dyDescent="0.3">
      <c r="A62" s="237" t="s">
        <v>341</v>
      </c>
      <c r="B62" s="195"/>
      <c r="C62" s="235"/>
      <c r="D62" s="175"/>
      <c r="E62" s="238" t="s">
        <v>348</v>
      </c>
      <c r="F62" s="201"/>
      <c r="G62" s="175"/>
      <c r="H62" s="237" t="s">
        <v>341</v>
      </c>
      <c r="I62" s="195"/>
      <c r="J62" s="235"/>
      <c r="K62" s="175"/>
      <c r="L62" s="238" t="s">
        <v>348</v>
      </c>
      <c r="M62" s="201"/>
    </row>
    <row r="63" spans="1:13" ht="15.75" x14ac:dyDescent="0.25">
      <c r="A63" s="237"/>
      <c r="B63" s="195"/>
      <c r="C63" s="235"/>
      <c r="D63" s="175"/>
      <c r="E63" s="239" t="s">
        <v>307</v>
      </c>
      <c r="F63" s="240" t="s">
        <v>336</v>
      </c>
      <c r="G63" s="175"/>
      <c r="H63" s="237"/>
      <c r="I63" s="195"/>
      <c r="J63" s="235"/>
      <c r="K63" s="175"/>
      <c r="L63" s="239" t="s">
        <v>307</v>
      </c>
      <c r="M63" s="240" t="s">
        <v>336</v>
      </c>
    </row>
    <row r="64" spans="1:13" ht="15.75" x14ac:dyDescent="0.25">
      <c r="A64" s="237" t="s">
        <v>342</v>
      </c>
      <c r="B64" s="195"/>
      <c r="C64" s="235"/>
      <c r="D64" s="175"/>
      <c r="E64" s="241"/>
      <c r="F64" s="242" t="s">
        <v>339</v>
      </c>
      <c r="G64" s="175"/>
      <c r="H64" s="237" t="s">
        <v>342</v>
      </c>
      <c r="I64" s="195"/>
      <c r="J64" s="235"/>
      <c r="K64" s="175"/>
      <c r="L64" s="241"/>
      <c r="M64" s="242" t="s">
        <v>339</v>
      </c>
    </row>
    <row r="65" spans="1:13" ht="15.75" x14ac:dyDescent="0.25">
      <c r="A65" s="237" t="s">
        <v>343</v>
      </c>
      <c r="B65" s="195"/>
      <c r="C65" s="235"/>
      <c r="D65" s="175"/>
      <c r="E65" s="243"/>
      <c r="F65" s="214"/>
      <c r="G65" s="175"/>
      <c r="H65" s="237" t="s">
        <v>343</v>
      </c>
      <c r="I65" s="195"/>
      <c r="J65" s="235"/>
      <c r="K65" s="175"/>
      <c r="L65" s="243"/>
      <c r="M65" s="214"/>
    </row>
    <row r="66" spans="1:13" ht="15.75" x14ac:dyDescent="0.25">
      <c r="A66" s="237" t="s">
        <v>344</v>
      </c>
      <c r="B66" s="195"/>
      <c r="C66" s="235"/>
      <c r="D66" s="175"/>
      <c r="E66" s="244" t="s">
        <v>101</v>
      </c>
      <c r="F66" s="245">
        <f>ROUND($C$32*F53,4)</f>
        <v>0</v>
      </c>
      <c r="G66" s="175"/>
      <c r="H66" s="237" t="s">
        <v>344</v>
      </c>
      <c r="I66" s="195"/>
      <c r="J66" s="235"/>
      <c r="K66" s="175"/>
      <c r="L66" s="244" t="s">
        <v>101</v>
      </c>
      <c r="M66" s="245">
        <f>ROUND($J$32*M53,4)</f>
        <v>0</v>
      </c>
    </row>
    <row r="67" spans="1:13" x14ac:dyDescent="0.2">
      <c r="A67" s="196"/>
      <c r="B67" s="195"/>
      <c r="C67" s="235"/>
      <c r="D67" s="175"/>
      <c r="E67" s="246"/>
      <c r="F67" s="220"/>
      <c r="G67" s="175"/>
      <c r="H67" s="196"/>
      <c r="I67" s="195"/>
      <c r="J67" s="235"/>
      <c r="K67" s="175"/>
      <c r="L67" s="246"/>
      <c r="M67" s="220"/>
    </row>
    <row r="68" spans="1:13" ht="15.75" x14ac:dyDescent="0.25">
      <c r="A68" s="247" t="s">
        <v>345</v>
      </c>
      <c r="B68" s="248"/>
      <c r="C68" s="226">
        <f>100%-C49</f>
        <v>1</v>
      </c>
      <c r="D68" s="175"/>
      <c r="E68" s="249" t="s">
        <v>99</v>
      </c>
      <c r="F68" s="250">
        <f>ROUND($C$32*F55,4)</f>
        <v>0</v>
      </c>
      <c r="G68" s="175"/>
      <c r="H68" s="247" t="s">
        <v>345</v>
      </c>
      <c r="I68" s="248"/>
      <c r="J68" s="226">
        <f>100%-J49</f>
        <v>1</v>
      </c>
      <c r="K68" s="175"/>
      <c r="L68" s="249" t="s">
        <v>99</v>
      </c>
      <c r="M68" s="250">
        <f>ROUND($J$32*M55,4)</f>
        <v>0</v>
      </c>
    </row>
    <row r="69" spans="1:13" ht="15.75" x14ac:dyDescent="0.25">
      <c r="A69" s="186"/>
      <c r="B69" s="251"/>
      <c r="C69" s="252"/>
      <c r="D69" s="253">
        <f>SUM(D64:D68)</f>
        <v>0</v>
      </c>
      <c r="E69" s="254" t="s">
        <v>100</v>
      </c>
      <c r="F69" s="250">
        <f>ROUND($C$32*F56,4)</f>
        <v>0</v>
      </c>
      <c r="G69" s="175"/>
      <c r="H69" s="186"/>
      <c r="I69" s="251"/>
      <c r="J69" s="252"/>
      <c r="K69" s="253">
        <f>SUM(K64:K68)</f>
        <v>0</v>
      </c>
      <c r="L69" s="254" t="s">
        <v>100</v>
      </c>
      <c r="M69" s="250">
        <f>ROUND($J$32*M56,4)</f>
        <v>0</v>
      </c>
    </row>
    <row r="70" spans="1:13" ht="15.75" x14ac:dyDescent="0.25">
      <c r="A70" s="186"/>
      <c r="B70" s="251"/>
      <c r="C70" s="252"/>
      <c r="D70" s="255"/>
      <c r="E70" s="256" t="s">
        <v>346</v>
      </c>
      <c r="F70" s="250">
        <f>C49</f>
        <v>0</v>
      </c>
      <c r="G70" s="175"/>
      <c r="H70" s="186"/>
      <c r="I70" s="251"/>
      <c r="J70" s="252"/>
      <c r="K70" s="255"/>
      <c r="L70" s="256" t="s">
        <v>346</v>
      </c>
      <c r="M70" s="250">
        <f>J49</f>
        <v>0</v>
      </c>
    </row>
    <row r="71" spans="1:13" ht="15.75" x14ac:dyDescent="0.25">
      <c r="A71" s="186"/>
      <c r="B71" s="251"/>
      <c r="C71" s="252"/>
      <c r="D71" s="186"/>
      <c r="E71" s="256" t="s">
        <v>347</v>
      </c>
      <c r="F71" s="250">
        <f>SUM(F66:F70)</f>
        <v>0</v>
      </c>
      <c r="G71" s="175"/>
      <c r="H71" s="186"/>
      <c r="I71" s="251"/>
      <c r="J71" s="252"/>
      <c r="K71" s="186"/>
      <c r="L71" s="256" t="s">
        <v>347</v>
      </c>
      <c r="M71" s="250">
        <f>SUM(M66:M70)</f>
        <v>0</v>
      </c>
    </row>
    <row r="72" spans="1:13" ht="16.5" thickBot="1" x14ac:dyDescent="0.3">
      <c r="A72" s="186"/>
      <c r="B72" s="251"/>
      <c r="C72" s="252"/>
      <c r="D72" s="186"/>
      <c r="E72" s="257" t="s">
        <v>330</v>
      </c>
      <c r="F72" s="258" t="str">
        <f>IF(F71=0,"",IF(F71=100%,"OK","erro"))</f>
        <v/>
      </c>
      <c r="G72" s="175"/>
      <c r="H72" s="186"/>
      <c r="I72" s="251"/>
      <c r="J72" s="252"/>
      <c r="K72" s="186"/>
      <c r="L72" s="257" t="s">
        <v>330</v>
      </c>
      <c r="M72" s="258" t="str">
        <f>IF(M71=0,"",IF(M71=100%,"OK","erro"))</f>
        <v/>
      </c>
    </row>
  </sheetData>
  <sheetProtection sheet="1" objects="1" scenarios="1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LIGANTES</vt:lpstr>
      <vt:lpstr>Prazos e Áreas</vt:lpstr>
      <vt:lpstr>base</vt:lpstr>
      <vt:lpstr>base (2)</vt:lpstr>
      <vt:lpstr>Cronograma SFM</vt:lpstr>
      <vt:lpstr>ENSAIOS DE ORÇAMENTO</vt:lpstr>
      <vt:lpstr>planilha_de_serviços</vt:lpstr>
      <vt:lpstr>viab-praça</vt:lpstr>
      <vt:lpstr>Novos Traços</vt:lpstr>
      <vt:lpstr>base!Area_de_impressao</vt:lpstr>
      <vt:lpstr>'base (2)'!Area_de_impressao</vt:lpstr>
      <vt:lpstr>'Cronograma SFM'!Area_de_impressao</vt:lpstr>
      <vt:lpstr>planilha_de_serviços!Area_de_impressao</vt:lpstr>
      <vt:lpstr>planilha_de_serviços!Titulos_de_impressao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Antonio Xavier da Silveira</dc:creator>
  <cp:lastModifiedBy>Luiz Antonio Xavier da Silveira</cp:lastModifiedBy>
  <cp:lastPrinted>2021-07-26T20:53:27Z</cp:lastPrinted>
  <dcterms:created xsi:type="dcterms:W3CDTF">2008-09-16T14:08:54Z</dcterms:created>
  <dcterms:modified xsi:type="dcterms:W3CDTF">2022-05-19T18:01:16Z</dcterms:modified>
</cp:coreProperties>
</file>