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Departamento de Compras - COMPRAS\13. Termos de Referência 2023\2. PREGÃO CONTRATAÇÃO\Vigia\Reaberto 2\"/>
    </mc:Choice>
  </mc:AlternateContent>
  <bookViews>
    <workbookView xWindow="-120" yWindow="-120" windowWidth="29040" windowHeight="15840" tabRatio="910"/>
  </bookViews>
  <sheets>
    <sheet name="VIGILANTE" sheetId="73" r:id="rId1"/>
    <sheet name="UNIFORMES E EQUIP." sheetId="74" r:id="rId2"/>
  </sheets>
  <externalReferences>
    <externalReference r:id="rId3"/>
    <externalReference r:id="rId4"/>
  </externalReferences>
  <definedNames>
    <definedName name="_xlnm.Print_Area" localSheetId="0">VIGILANTE!$A$1:$C$117</definedName>
    <definedName name="Equip.comuns.armados">[1]Equipamentos!$N$27</definedName>
    <definedName name="Equip.comuns.todos">[1]Equipamentos!$N$15</definedName>
    <definedName name="mat.usocomum">'[2]Mat Uso Comum '!$G$10</definedName>
    <definedName name="UNIF.agenteseg">[1]Uniformes!#REF!</definedName>
    <definedName name="UNIF.armado">[1]Uniformes!$H$14</definedName>
    <definedName name="UNIF.bomb.brigadista">[1]Uniformes!#REF!</definedName>
    <definedName name="UNIF.desarmado">[1]Uniformes!$H$26</definedName>
    <definedName name="UNIF.supervisor">[1]Uniformes!#REF!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73" l="1"/>
  <c r="C42" i="73" l="1"/>
  <c r="C21" i="73"/>
  <c r="C20" i="73"/>
  <c r="C19" i="73"/>
  <c r="C46" i="73"/>
  <c r="D10" i="74" l="1"/>
  <c r="D11" i="74"/>
  <c r="C44" i="73"/>
  <c r="C43" i="73"/>
  <c r="D8" i="74" l="1"/>
  <c r="D9" i="74"/>
  <c r="D7" i="74"/>
  <c r="D6" i="74"/>
  <c r="D5" i="74"/>
  <c r="D4" i="74"/>
  <c r="D13" i="74" l="1"/>
  <c r="C83" i="73" s="1"/>
  <c r="C79" i="73" l="1"/>
  <c r="B28" i="73" l="1"/>
  <c r="B69" i="73"/>
  <c r="C60" i="73" l="1"/>
  <c r="C26" i="73"/>
  <c r="C71" i="73"/>
  <c r="C69" i="73"/>
  <c r="C72" i="73"/>
  <c r="C68" i="73"/>
  <c r="C47" i="73" l="1"/>
  <c r="C48" i="73" l="1"/>
  <c r="B70" i="73" l="1"/>
  <c r="C70" i="73" s="1"/>
  <c r="C74" i="73" s="1"/>
  <c r="C110" i="73" l="1"/>
  <c r="B101" i="73"/>
  <c r="B61" i="73"/>
  <c r="C61" i="73" s="1"/>
  <c r="B39" i="73"/>
  <c r="B62" i="73" l="1"/>
  <c r="C62" i="73" s="1"/>
  <c r="C58" i="73"/>
  <c r="C63" i="73"/>
  <c r="C53" i="73"/>
  <c r="C25" i="73"/>
  <c r="C27" i="73"/>
  <c r="C34" i="73"/>
  <c r="C38" i="73"/>
  <c r="C32" i="73"/>
  <c r="C36" i="73"/>
  <c r="C31" i="73"/>
  <c r="C33" i="73"/>
  <c r="C35" i="73"/>
  <c r="C37" i="73"/>
  <c r="C107" i="73"/>
  <c r="C59" i="73"/>
  <c r="C28" i="73" l="1"/>
  <c r="C51" i="73" s="1"/>
  <c r="C64" i="73"/>
  <c r="C39" i="73"/>
  <c r="C52" i="73" s="1"/>
  <c r="B64" i="73"/>
  <c r="C109" i="73" l="1"/>
  <c r="C54" i="73" l="1"/>
  <c r="C108" i="73" l="1"/>
  <c r="C84" i="73" l="1"/>
  <c r="C88" i="73" s="1"/>
  <c r="C90" i="73" l="1"/>
  <c r="C111" i="73"/>
  <c r="C112" i="73" s="1"/>
  <c r="C91" i="73" l="1"/>
  <c r="C93" i="73" s="1"/>
  <c r="C95" i="73" s="1"/>
  <c r="C98" i="73" l="1"/>
  <c r="C100" i="73"/>
  <c r="C99" i="73"/>
  <c r="C101" i="73" l="1"/>
  <c r="C102" i="73" l="1"/>
  <c r="C113" i="73" s="1"/>
  <c r="C114" i="73" l="1"/>
  <c r="B117" i="73" l="1"/>
  <c r="B118" i="73" s="1"/>
</calcChain>
</file>

<file path=xl/comments1.xml><?xml version="1.0" encoding="utf-8"?>
<comments xmlns="http://schemas.openxmlformats.org/spreadsheetml/2006/main">
  <authors>
    <author>compras1</author>
  </authors>
  <commentList>
    <comment ref="B33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58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61" authorId="0" shapeId="0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78" authorId="0" shapeId="0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memória de cálculo para se chegar a quantidade de dias: 20,98 dias trabalhados x 15 min de intervalo obrigatório / minutos hora</t>
        </r>
      </text>
    </comment>
  </commentList>
</comments>
</file>

<file path=xl/sharedStrings.xml><?xml version="1.0" encoding="utf-8"?>
<sst xmlns="http://schemas.openxmlformats.org/spreadsheetml/2006/main" count="181" uniqueCount="159">
  <si>
    <t>C - Adicional de férias</t>
  </si>
  <si>
    <t>B - Lucro</t>
  </si>
  <si>
    <t>C - Tributos</t>
  </si>
  <si>
    <t xml:space="preserve">   SUBTOTAL Tributos</t>
  </si>
  <si>
    <t>A - Data da apresentação da proposta (dia/mês/ano)</t>
  </si>
  <si>
    <t>1 - COMPOSIÇÃO DA REMUNERAÇÃO</t>
  </si>
  <si>
    <t>%</t>
  </si>
  <si>
    <t xml:space="preserve">TOTAL DA REMUNERAÇÃO :    </t>
  </si>
  <si>
    <t>A - INSS</t>
  </si>
  <si>
    <t>TOTAL</t>
  </si>
  <si>
    <t>Valor (R$)</t>
  </si>
  <si>
    <t>A - 13º salário</t>
  </si>
  <si>
    <t>A - Aviso prévio indenizado</t>
  </si>
  <si>
    <t>B - Incidência do FGTS sobre o aviso prévio indenizado</t>
  </si>
  <si>
    <t>C - Multa do FGTS do aviso prévio indenizado</t>
  </si>
  <si>
    <t>D - Aviso prévio trabalhado</t>
  </si>
  <si>
    <t xml:space="preserve">        PIS</t>
  </si>
  <si>
    <t>QUADRO-RESUMO DO CUSTO POR EMPREGADO</t>
  </si>
  <si>
    <t>Mão-de-obra vinculada à execução contratual (Valor por empregado)</t>
  </si>
  <si>
    <t>(R$)</t>
  </si>
  <si>
    <t>A - Módulo 1 - Composição da Remuneração</t>
  </si>
  <si>
    <t>VALOR TOTAL POR EMPREGADO</t>
  </si>
  <si>
    <t>Discriminação dos Serviços</t>
  </si>
  <si>
    <t>D - Tipo de Serviço</t>
  </si>
  <si>
    <r>
      <t xml:space="preserve">IMPORTANTE: Para efeito de elaboração da planilha de custos os dados abaixo deverão ser informados/cotados os </t>
    </r>
    <r>
      <rPr>
        <b/>
        <i/>
        <u/>
        <sz val="12"/>
        <color indexed="8"/>
        <rFont val="Arial"/>
        <family val="2"/>
      </rPr>
      <t>valores unitários por empregado</t>
    </r>
    <r>
      <rPr>
        <b/>
        <i/>
        <sz val="12"/>
        <color indexed="8"/>
        <rFont val="Arial"/>
        <family val="2"/>
      </rPr>
      <t xml:space="preserve"> (não para o posto!!!)</t>
    </r>
  </si>
  <si>
    <t xml:space="preserve">CÁLCULO DOS TRIBUTOS = Base de Cálculo dos Tributos / (1-(Total de Tributos em % dividido por 100)] x Alíquota do tributo </t>
  </si>
  <si>
    <t>B- Férias</t>
  </si>
  <si>
    <t>B - Município/UF</t>
  </si>
  <si>
    <t>C - Ano do Acordo, Convenção ou Dissídio Coletivo</t>
  </si>
  <si>
    <t>MÓDULO 2: Encargos e Benefícios Anuais, Mensais e Diários</t>
  </si>
  <si>
    <t>B - Salário Educação</t>
  </si>
  <si>
    <t>D - SESC ou SESI</t>
  </si>
  <si>
    <t>E - SENAI - SENAC</t>
  </si>
  <si>
    <t>F -  SEBRAE</t>
  </si>
  <si>
    <t>G - INCRA</t>
  </si>
  <si>
    <t>H - FGTS</t>
  </si>
  <si>
    <t>2.3 - Benefícios Mensais e Diários</t>
  </si>
  <si>
    <t>B - Auxílio-Refeição/Alimentação</t>
  </si>
  <si>
    <t xml:space="preserve">TOTAL </t>
  </si>
  <si>
    <t>MÓDULO 3: Provisão para Rescisão</t>
  </si>
  <si>
    <t>3 - Provisão para rescisão</t>
  </si>
  <si>
    <t>E - Incidência do submódulo 2.2 sobre aviso prévio trabalhado</t>
  </si>
  <si>
    <t>5 - INSUMOS DIVERSOS</t>
  </si>
  <si>
    <t>MÓDULO 6: Custos Indiretos, Tributos e Lucros</t>
  </si>
  <si>
    <t>BASE DE CÁLCULO DOS TRIBUTOS</t>
  </si>
  <si>
    <t>6 - Custos indiretos, tributos e lucro</t>
  </si>
  <si>
    <t>B - Módulo 2 - Encargos e Benefícios Anuais, Mensais e Diários</t>
  </si>
  <si>
    <t>C - Módulo 3 - Provisão para Rescisão</t>
  </si>
  <si>
    <t>D - Módulo 4 - Custo de Reposição do Profissional Ausente</t>
  </si>
  <si>
    <t>E - Módulo 5 - Insumos Diversos</t>
  </si>
  <si>
    <t>F - Módulo 6 - Custos indiretos, tributos e lucro</t>
  </si>
  <si>
    <t>Quadro-Resumo do Módulo 2</t>
  </si>
  <si>
    <t xml:space="preserve">        COFINS</t>
  </si>
  <si>
    <t>MÓDULO 4: Custo de Reposição do Profissional Ausente</t>
  </si>
  <si>
    <t>MÓDULO 5: Insumos Diversos</t>
  </si>
  <si>
    <t>BASE DE CÁLCULO DOS CUSTOS INDIRETOS/DESPESAS OPERACIONAIS/ADMINISTRATIVAS  (Módulo 1 + Módulo 2+ Módulo 3 + Módulo 4 + Módulo 5)</t>
  </si>
  <si>
    <t xml:space="preserve">BASE DE CÁLCULO DO LUCRO = ((Módulo 1 + Módulo 2+ Módulo 3 + Módulo 4 + Módulo 5 + Custos Indiretos) </t>
  </si>
  <si>
    <t xml:space="preserve">   C1. Tributos Federais</t>
  </si>
  <si>
    <t>E - Número de meses de execução contratual</t>
  </si>
  <si>
    <t>2.2 - Encargos Previdenciários (GPS), Fundo de Garantia por Tempo de Serviço (FGTS) e outras contribuições.</t>
  </si>
  <si>
    <t>2.2 - GPS, FGTS e outras contribuições</t>
  </si>
  <si>
    <t>Subtotal (A+B+C+D+E)</t>
  </si>
  <si>
    <t>F - Multa do FGTS sobre o aviso prévio trabalhado</t>
  </si>
  <si>
    <t>4 - Custo de Reposição do Profissional Ausente</t>
  </si>
  <si>
    <t>B - Substituto na cobertura de Licença-Paternidade</t>
  </si>
  <si>
    <t xml:space="preserve">C -Substituto na cobertura de Ausência por acidente de trabalho </t>
  </si>
  <si>
    <t>D - Substituto na cobertura de Afastamento Maternidade</t>
  </si>
  <si>
    <t>Coronel Vivida - PR</t>
  </si>
  <si>
    <t>E - Substituto na cobertura de Ausências Legais</t>
  </si>
  <si>
    <t>A - Substituto na cobertura de Férias</t>
  </si>
  <si>
    <t>F- Outros (especificar)</t>
  </si>
  <si>
    <r>
      <t xml:space="preserve">   C2. Tributos Municipais  - </t>
    </r>
    <r>
      <rPr>
        <b/>
        <sz val="10"/>
        <rFont val="Arial"/>
        <family val="2"/>
      </rPr>
      <t>ISS</t>
    </r>
  </si>
  <si>
    <t>QUANTIDADE DE FUNCIONÁRIOS</t>
  </si>
  <si>
    <t>MÓDULO 1: Composição da remuneração</t>
  </si>
  <si>
    <t>Fundamentação: art. 7º, inciso VIII, da C.F., Lei nº 4.090/62 e Lei nº 7.787/89. (1 salário / 12 meses)</t>
  </si>
  <si>
    <t>(1/3) do salário / 12 (meses) * 100 = 2,78%</t>
  </si>
  <si>
    <t>Fundamentação: art. 22, inciso I da Lei nº 8.212/91.</t>
  </si>
  <si>
    <t>C - RAT = RAT X FAP</t>
  </si>
  <si>
    <t>A alíquota do SAT refere-se ao risco da atividade preponderante da empresa, individualizado de acordo com o seu Fator Acidentário de Prevenção (FAP), conforme Decreto Federal nº 6.957/2009.</t>
  </si>
  <si>
    <t>Fundamentação: art. 30 da Lei nº 8.036/90.</t>
  </si>
  <si>
    <t>Fundamentação: Decreto-Lei nº 6.246/44 e 8.621/46</t>
  </si>
  <si>
    <t>Fundamentação: art. 15 da Lei nº 8.036/90 e art. 7º, inciso III, da Constituição Federal de 1988.</t>
  </si>
  <si>
    <t>Devido à imprevisibilidade, esse é um montante que a empresa deverá provisionar.</t>
  </si>
  <si>
    <t>8% (alíquota do FGTS) sobre o valor do API. (8% x 0,42% = 0,033%)</t>
  </si>
  <si>
    <t>50% do valor da incidência do FGTS sobre o API. (50% x 0,033% = 0,016%)</t>
  </si>
  <si>
    <t>art. 488 da CLT. ((7/30)/12)x 100 = 1,94%</t>
  </si>
  <si>
    <t>Alíquota total do submódulo 2.2 sobre o valor do APT.</t>
  </si>
  <si>
    <t>50% do valor da incidência do FGTS sobre o APT. (50% x 8% x 1,94% = 0,077%)</t>
  </si>
  <si>
    <t>Fundamentação: arts. 473 e 83 da CLT.</t>
  </si>
  <si>
    <t>Lei Federal 11.770/2008, atualizada pela Lei 13.257/2016</t>
  </si>
  <si>
    <t>Artigo 27 do Decreto nº 89.312</t>
  </si>
  <si>
    <t>C. F. art. 7º, inciso VIII, Lei nº 4.090/62 e Lei nº 7.787/89</t>
  </si>
  <si>
    <t>Estimativa com base no TR e nos preços de mercado.</t>
  </si>
  <si>
    <t>IN 05/2017 – Anexo I</t>
  </si>
  <si>
    <r>
      <t>A - Custos indiretos</t>
    </r>
    <r>
      <rPr>
        <sz val="10"/>
        <rFont val="Arial"/>
        <family val="2"/>
      </rPr>
      <t xml:space="preserve"> </t>
    </r>
  </si>
  <si>
    <t>Alíquota máxima de 5% conforme determinação do CNJ</t>
  </si>
  <si>
    <t>art. 3º - CTN – Lei nº 5.172/66</t>
  </si>
  <si>
    <t>Lei nº 10.637/02.</t>
  </si>
  <si>
    <t>Art. 2º da Lei 10.833/03</t>
  </si>
  <si>
    <t>Segundo o CTN, até 5% de acordo com o serviço</t>
  </si>
  <si>
    <t>Decreto n.º 6.003, de 20 de dezembro de 2006, regulamenta a contribuição social do salário educação.</t>
  </si>
  <si>
    <t>Fundamentação: Lei nº 8.029/90, alterada pela Lei nº 8.154/90.</t>
  </si>
  <si>
    <t>Fundamentação: art. 1º, inciso I, do Decreto-Lei nº 1.146/70.</t>
  </si>
  <si>
    <t>Observar a provisão dos benefícios contidos em Acordos, Convenções e Dissídios Coletivos de Trabalho e atentar-se ao disposto no art. 6.º da Instrução Normativa SEGES/MPDG nº 05/2017</t>
  </si>
  <si>
    <t>VALOR TOTAL MENSAL</t>
  </si>
  <si>
    <t>VALOR TOTAL ANUAL</t>
  </si>
  <si>
    <t>A - Salário base - ( 44 horas semanais)</t>
  </si>
  <si>
    <t>F - Outros: especificar</t>
  </si>
  <si>
    <t>B1 - Auxílio-Refeição/Alimentação nas Férias</t>
  </si>
  <si>
    <t>A - Transporte (Zerar em caso de negativo)</t>
  </si>
  <si>
    <t>2.1 - Contingenciamento</t>
  </si>
  <si>
    <t>Resolução 169/2013 CNJ</t>
  </si>
  <si>
    <t>A-H) As licitantes devem preencher a planilha de acordo como o seu regime de tributação. Todos os encargos trabalhistas devem incidir sobre o total da remuneração. G) Os percentuais de RAT são 1, 2 e 3%, conforme enqudramento do serviço. As licitantes devem cotar opercentual do SAT ajustado pelo Fator Acidentário de Prevenção (FAP), cujo número máximo é 2, logo a cotação máxima que se pode chegar neste item é 6%.</t>
  </si>
  <si>
    <t>MÓDULO 4.1 : Intervalo Intrajornada</t>
  </si>
  <si>
    <t>Intervalo para repouso ou alimentação em qualquer trabalho contínuo, superior a 6 horas. A não concessão do intervalo obriga o empregador a pagar por esse período, nos termos da lei. (Intervalo mínimo reduzido para 30 minutos – art. 611-A da CLT)</t>
  </si>
  <si>
    <t>4.1 - Intervalo Intrajornada</t>
  </si>
  <si>
    <t>Previsão no art. 71, §§ 1º ao 4º da CLT. Com a reforma da CLT, passou a ter natureza indenizatória.</t>
  </si>
  <si>
    <t>A - Supressão do intervalo para repouso ou alimentação</t>
  </si>
  <si>
    <t xml:space="preserve">Cláusula décima terceira da CCT </t>
  </si>
  <si>
    <t>1 Salário / 12 meses *100 = 8,33% (NÃO RENOVÁVEL)</t>
  </si>
  <si>
    <t>Descrição</t>
  </si>
  <si>
    <t>Quant</t>
  </si>
  <si>
    <t>Preço Unitário</t>
  </si>
  <si>
    <t>Preço Total</t>
  </si>
  <si>
    <t>Fonte de Pesquisa</t>
  </si>
  <si>
    <t>Calça</t>
  </si>
  <si>
    <t>TOTAL (12 meses)</t>
  </si>
  <si>
    <t>Custo por profissional por mês</t>
  </si>
  <si>
    <t>Camiseta manga longa</t>
  </si>
  <si>
    <t>Camiseta manga curta</t>
  </si>
  <si>
    <t>Jaqueta</t>
  </si>
  <si>
    <t>Coturno</t>
  </si>
  <si>
    <t>Capa de chuva</t>
  </si>
  <si>
    <t>Loja vigilante</t>
  </si>
  <si>
    <t>Vigilante Shop</t>
  </si>
  <si>
    <t>XX/XX/2023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</si>
  <si>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</si>
  <si>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</si>
  <si>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</si>
  <si>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</si>
  <si>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Assim, com esta prova de má fé por parte do licitante, o Município poderá desabilitar a empresa durante o processo licitatório, ou mesmo, rescindir o contrato em vigor, pelo bem do serviço público.</t>
  </si>
  <si>
    <t>Portanto, baseado nestes aspectos, cabe a empresa identificar quais os enquadramentos trabalhistas e tributários corretos para a 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</si>
  <si>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B - Adicional de periculosidade</t>
  </si>
  <si>
    <t>PR 000324/2022</t>
  </si>
  <si>
    <t>Cláusula décima terceira da CCT - (R$ 626,40 - 20%)</t>
  </si>
  <si>
    <t xml:space="preserve">Cláusula décima quinta da CCT </t>
  </si>
  <si>
    <t>C - Auxílio Saúde</t>
  </si>
  <si>
    <t>VIGILANTE CBO 5173</t>
  </si>
  <si>
    <t>D- Fundo de Formação Profissional</t>
  </si>
  <si>
    <t xml:space="preserve">Cláusula trigésima segunda da CCT </t>
  </si>
  <si>
    <t>Bastão detector de metal</t>
  </si>
  <si>
    <t>Americanas</t>
  </si>
  <si>
    <t>B - Salário base proporcional - (30 horas semanais)</t>
  </si>
  <si>
    <t>Lei nº 7.418/1985: obrigação de pagar deslocamentos do trabalhador no percurso residência-trabalho-residência. (dias trabalhados x 3,40 valor da passagem x 2) - (6% do salário)</t>
  </si>
  <si>
    <t>Parágrafo primeiro da Clausula terceira da CCT</t>
  </si>
  <si>
    <t>PLANILHA DE CUSTOS E FORMAÇÃO DE PREÇOS - ITEM 02</t>
  </si>
  <si>
    <t>A - Uniformes, EPIs e Equipamentos</t>
  </si>
  <si>
    <t>Memória de Cálculo de Uniforme item 02</t>
  </si>
  <si>
    <t>Salário-hora X Dias trabalhados no mês (sem intervalo) X 1,5 (Adicional de 50%)  - § 1º do Art. 71 do DECRETO-LEI Nº 5.452, DE 1º DE MAIO DE 1943 "§ 1º - Não excedendo de 6 (seis) horas o trabalho, será, entretanto, obrigatório um intervalo de 15 (quinze) minutos quando a duração ultrapassar 4 (quatro) horas."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</si>
</sst>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[$R$-416]\ * #,##0.00_-;\-[$R$-416]\ * #,##0.00_-;_-[$R$-416]\ * &quot;-&quot;??_-;_-@_-"/>
    <numFmt numFmtId="168" formatCode="0.000%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 Narrow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Arial"/>
      <charset val="134"/>
    </font>
    <font>
      <b/>
      <sz val="10"/>
      <name val="Arial"/>
      <charset val="134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4" borderId="0" applyNumberFormat="0" applyBorder="0" applyAlignment="0" applyProtection="0"/>
    <xf numFmtId="0" fontId="24" fillId="16" borderId="1" applyNumberFormat="0" applyAlignment="0" applyProtection="0"/>
    <xf numFmtId="0" fontId="25" fillId="17" borderId="2" applyNumberFormat="0" applyAlignment="0" applyProtection="0"/>
    <xf numFmtId="0" fontId="26" fillId="0" borderId="3" applyNumberFormat="0" applyFill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7" fillId="7" borderId="1" applyNumberFormat="0" applyAlignment="0" applyProtection="0"/>
    <xf numFmtId="0" fontId="28" fillId="3" borderId="0" applyNumberFormat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5" fillId="0" borderId="0"/>
    <xf numFmtId="0" fontId="5" fillId="23" borderId="4" applyNumberFormat="0" applyFont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9" applyNumberFormat="0" applyFill="0" applyAlignment="0" applyProtection="0"/>
    <xf numFmtId="166" fontId="4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8" fillId="0" borderId="0" xfId="0" applyFont="1" applyFill="1" applyBorder="1" applyAlignment="1">
      <alignment horizontal="justify" vertical="center" wrapText="1"/>
    </xf>
    <xf numFmtId="165" fontId="1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3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0" fontId="5" fillId="0" borderId="0" xfId="39" applyNumberFormat="1" applyFont="1" applyAlignment="1">
      <alignment vertical="center"/>
    </xf>
    <xf numFmtId="165" fontId="12" fillId="0" borderId="10" xfId="3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166" fontId="5" fillId="0" borderId="0" xfId="52" applyFont="1" applyAlignment="1">
      <alignment vertical="center"/>
    </xf>
    <xf numFmtId="0" fontId="12" fillId="0" borderId="10" xfId="0" applyFont="1" applyFill="1" applyBorder="1" applyAlignment="1">
      <alignment horizontal="justify" vertical="center" wrapText="1"/>
    </xf>
    <xf numFmtId="4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10" fontId="16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1" fillId="25" borderId="10" xfId="0" applyFont="1" applyFill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justify" vertical="center" wrapText="1"/>
    </xf>
    <xf numFmtId="165" fontId="4" fillId="0" borderId="10" xfId="3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vertical="center"/>
    </xf>
    <xf numFmtId="10" fontId="4" fillId="0" borderId="10" xfId="39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left" vertical="center" wrapText="1"/>
    </xf>
    <xf numFmtId="10" fontId="4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left" vertical="center" wrapText="1"/>
    </xf>
    <xf numFmtId="10" fontId="12" fillId="0" borderId="10" xfId="3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 wrapText="1"/>
    </xf>
    <xf numFmtId="165" fontId="12" fillId="0" borderId="10" xfId="31" applyFont="1" applyFill="1" applyBorder="1" applyAlignment="1">
      <alignment vertical="center"/>
    </xf>
    <xf numFmtId="10" fontId="12" fillId="0" borderId="10" xfId="0" applyNumberFormat="1" applyFont="1" applyFill="1" applyBorder="1" applyAlignment="1">
      <alignment horizontal="center" vertical="center" wrapText="1"/>
    </xf>
    <xf numFmtId="165" fontId="4" fillId="0" borderId="10" xfId="31" applyFont="1" applyFill="1" applyBorder="1" applyAlignment="1">
      <alignment vertical="center"/>
    </xf>
    <xf numFmtId="168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0" fontId="4" fillId="0" borderId="0" xfId="0" applyNumberFormat="1" applyFont="1" applyFill="1" applyBorder="1" applyAlignment="1">
      <alignment horizontal="center" vertical="center"/>
    </xf>
    <xf numFmtId="165" fontId="12" fillId="0" borderId="0" xfId="31" applyFont="1" applyFill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left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10" fontId="4" fillId="0" borderId="10" xfId="39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justify" vertical="center" wrapText="1"/>
    </xf>
    <xf numFmtId="10" fontId="13" fillId="0" borderId="10" xfId="39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left" vertical="center" wrapText="1"/>
    </xf>
    <xf numFmtId="10" fontId="12" fillId="0" borderId="0" xfId="39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165" fontId="12" fillId="0" borderId="10" xfId="0" applyNumberFormat="1" applyFont="1" applyFill="1" applyBorder="1" applyAlignment="1">
      <alignment vertical="center"/>
    </xf>
    <xf numFmtId="165" fontId="5" fillId="0" borderId="21" xfId="0" applyNumberFormat="1" applyFont="1" applyFill="1" applyBorder="1" applyAlignment="1">
      <alignment vertical="center"/>
    </xf>
    <xf numFmtId="165" fontId="11" fillId="0" borderId="17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44" fontId="4" fillId="0" borderId="10" xfId="31" applyNumberFormat="1" applyFont="1" applyFill="1" applyBorder="1" applyAlignment="1">
      <alignment horizontal="left" vertical="center" wrapText="1"/>
    </xf>
    <xf numFmtId="9" fontId="4" fillId="0" borderId="10" xfId="39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31" applyFont="1" applyBorder="1"/>
    <xf numFmtId="165" fontId="0" fillId="0" borderId="10" xfId="0" applyNumberFormat="1" applyBorder="1"/>
    <xf numFmtId="0" fontId="0" fillId="0" borderId="10" xfId="0" applyBorder="1"/>
    <xf numFmtId="165" fontId="47" fillId="27" borderId="10" xfId="0" applyNumberFormat="1" applyFont="1" applyFill="1" applyBorder="1"/>
    <xf numFmtId="165" fontId="47" fillId="0" borderId="10" xfId="0" applyNumberFormat="1" applyFont="1" applyBorder="1"/>
    <xf numFmtId="0" fontId="12" fillId="0" borderId="10" xfId="0" applyFont="1" applyFill="1" applyBorder="1" applyAlignment="1">
      <alignment horizontal="left" vertical="center" wrapText="1"/>
    </xf>
    <xf numFmtId="0" fontId="0" fillId="0" borderId="24" xfId="0" applyFill="1" applyBorder="1"/>
    <xf numFmtId="0" fontId="4" fillId="0" borderId="0" xfId="0" applyFont="1" applyAlignment="1">
      <alignment vertical="center" wrapText="1"/>
    </xf>
    <xf numFmtId="0" fontId="6" fillId="25" borderId="0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7" fillId="25" borderId="2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1" fillId="25" borderId="13" xfId="0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center" vertical="center" wrapText="1"/>
    </xf>
    <xf numFmtId="0" fontId="11" fillId="25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14" fillId="24" borderId="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67" fontId="41" fillId="25" borderId="10" xfId="0" applyNumberFormat="1" applyFont="1" applyFill="1" applyBorder="1" applyAlignment="1">
      <alignment horizontal="center" vertical="center"/>
    </xf>
    <xf numFmtId="0" fontId="4" fillId="26" borderId="0" xfId="0" applyFont="1" applyFill="1" applyAlignment="1">
      <alignment horizontal="justify" vertical="justify" wrapText="1"/>
    </xf>
    <xf numFmtId="0" fontId="4" fillId="0" borderId="0" xfId="0" applyFont="1" applyAlignment="1">
      <alignment horizontal="left" vertical="center" wrapText="1"/>
    </xf>
    <xf numFmtId="0" fontId="41" fillId="25" borderId="1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/>
    </xf>
    <xf numFmtId="0" fontId="47" fillId="27" borderId="10" xfId="0" applyFont="1" applyFill="1" applyBorder="1" applyAlignment="1">
      <alignment horizontal="center"/>
    </xf>
    <xf numFmtId="0" fontId="47" fillId="0" borderId="10" xfId="0" applyFont="1" applyFill="1" applyBorder="1" applyAlignment="1">
      <alignment horizontal="center"/>
    </xf>
  </cellXfs>
  <cellStyles count="70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 2" xfId="20"/>
    <cellStyle name="Célula de Verificação 2" xfId="21"/>
    <cellStyle name="Célula Vinculada 2" xfId="22"/>
    <cellStyle name="Ênfase1 2" xfId="23"/>
    <cellStyle name="Ênfase2 2" xfId="24"/>
    <cellStyle name="Ênfase3 2" xfId="25"/>
    <cellStyle name="Ênfase4 2" xfId="26"/>
    <cellStyle name="Ênfase5 2" xfId="27"/>
    <cellStyle name="Ênfase6 2" xfId="28"/>
    <cellStyle name="Entrada 2" xfId="29"/>
    <cellStyle name="Incorreto 2" xfId="30"/>
    <cellStyle name="Moeda" xfId="31" builtinId="4"/>
    <cellStyle name="Moeda 13" xfId="32"/>
    <cellStyle name="Moeda 13 2" xfId="55"/>
    <cellStyle name="Moeda 2" xfId="33"/>
    <cellStyle name="Moeda 2 2" xfId="56"/>
    <cellStyle name="Moeda 3" xfId="34"/>
    <cellStyle name="Moeda 3 2" xfId="57"/>
    <cellStyle name="Neutra 2" xfId="35"/>
    <cellStyle name="Normal" xfId="0" builtinId="0"/>
    <cellStyle name="Normal 2" xfId="36"/>
    <cellStyle name="Normal 2 2" xfId="37"/>
    <cellStyle name="Normal 2 2 2" xfId="59"/>
    <cellStyle name="Normal 2 3" xfId="58"/>
    <cellStyle name="Normal 3" xfId="54"/>
    <cellStyle name="Normal 3 2" xfId="65"/>
    <cellStyle name="Normal 3 2 2" xfId="69"/>
    <cellStyle name="Normal 3 3" xfId="66"/>
    <cellStyle name="Nota 2" xfId="38"/>
    <cellStyle name="Nota 2 2" xfId="60"/>
    <cellStyle name="Porcentagem" xfId="39" builtinId="5"/>
    <cellStyle name="Porcentagem 2" xfId="40"/>
    <cellStyle name="Porcentagem 2 2" xfId="61"/>
    <cellStyle name="Porcentagem 2 7" xfId="41"/>
    <cellStyle name="Porcentagem 9 6" xfId="42"/>
    <cellStyle name="Porcentagem 9 6 2" xfId="62"/>
    <cellStyle name="Saída 2" xfId="43"/>
    <cellStyle name="Texto de Aviso 2" xfId="44"/>
    <cellStyle name="Texto Explicativo 2" xfId="45"/>
    <cellStyle name="Título 1 2" xfId="46"/>
    <cellStyle name="Título 2 2" xfId="47"/>
    <cellStyle name="Título 3 2" xfId="48"/>
    <cellStyle name="Título 4 2" xfId="49"/>
    <cellStyle name="Título 5" xfId="50"/>
    <cellStyle name="Total 2" xfId="51"/>
    <cellStyle name="Vírgula" xfId="52" builtinId="3"/>
    <cellStyle name="Vírgula 2" xfId="53"/>
    <cellStyle name="Vírgula 2 2" xfId="64"/>
    <cellStyle name="Vírgula 2 2 2" xfId="68"/>
    <cellStyle name="Vírgula 3" xfId="63"/>
    <cellStyle name="Vírgula 3 2" xfId="6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G&#213;ES\2018\VIGIL&#194;NCIA\Regional__IV_VIII%20-%20PE%2088_2018%20(Jo&#227;o%20Orlando)\Planilha%20Regi&#227;o%20IV%20-%20vers&#227;o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NTRATOS%20VIGIL&#194;NCIA\Vig%20Capital%202&#186;%20Grau_Secretaria%20-%20EQUIP%20SEG\PLANILHAS%20DE%20CUSTOS\03.%20Planilha%20Repact%20CCT%202017%20-%20SEM%20A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roposta Comercial"/>
      <sheetName val="12x36 D"/>
      <sheetName val="12x36 N"/>
      <sheetName val="44h desarm"/>
      <sheetName val="Uniformes"/>
      <sheetName val="Equipamentos"/>
      <sheetName val="CTG"/>
      <sheetName val="ISS e VT"/>
    </sheetNames>
    <sheetDataSet>
      <sheetData sheetId="0"/>
      <sheetData sheetId="1"/>
      <sheetData sheetId="2"/>
      <sheetData sheetId="3"/>
      <sheetData sheetId="4"/>
      <sheetData sheetId="5">
        <row r="14">
          <cell r="H14">
            <v>105.18499999999999</v>
          </cell>
        </row>
        <row r="26">
          <cell r="H26">
            <v>79.184999999999988</v>
          </cell>
        </row>
      </sheetData>
      <sheetData sheetId="6">
        <row r="15">
          <cell r="N15">
            <v>6.8306591216216219</v>
          </cell>
        </row>
        <row r="27">
          <cell r="N27">
            <v>32.040531250000008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oposta Com."/>
      <sheetName val="Valor mensal por posto"/>
      <sheetName val="QUADRO RESUMO"/>
      <sheetName val="RESUMO"/>
      <sheetName val="Uniformes"/>
      <sheetName val="Mat Uso Comum "/>
      <sheetName val="Equipamentos"/>
      <sheetName val="12x36 D"/>
      <sheetName val="12x36 N"/>
      <sheetName val="12x36 N (des)"/>
      <sheetName val="44horas"/>
      <sheetName val="Seg.Bombeiro"/>
      <sheetName val="Agente Seg"/>
      <sheetName val="Supervisor"/>
      <sheetName val="PROPOSTA COMERCIAL"/>
      <sheetName val="Resumo_Proposta_Com_"/>
      <sheetName val="Valor_mensal_por_posto"/>
      <sheetName val="QUADRO_RESUMO"/>
      <sheetName val="Mat_Uso_Comum_"/>
      <sheetName val="12x36_D"/>
      <sheetName val="12x36_N"/>
      <sheetName val="12x36_N_(des)"/>
      <sheetName val="Seg_Bombeiro"/>
      <sheetName val="Agente_Seg"/>
      <sheetName val="PROPOSTA_COMERCIAL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4.1111111111111107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43"/>
  <sheetViews>
    <sheetView showGridLines="0" tabSelected="1" topLeftCell="A105" zoomScale="85" zoomScaleNormal="85" zoomScaleSheetLayoutView="90" workbookViewId="0">
      <selection sqref="A1:C118"/>
    </sheetView>
  </sheetViews>
  <sheetFormatPr defaultRowHeight="12.75"/>
  <cols>
    <col min="1" max="1" width="71.28515625" style="6" customWidth="1"/>
    <col min="2" max="2" width="12.140625" style="19" bestFit="1" customWidth="1"/>
    <col min="3" max="3" width="19.5703125" style="6" customWidth="1"/>
    <col min="4" max="4" width="4.28515625" style="6" customWidth="1"/>
    <col min="5" max="5" width="17.85546875" style="6" customWidth="1"/>
    <col min="6" max="6" width="10.7109375" style="7" customWidth="1"/>
    <col min="7" max="13" width="10.7109375" style="6" customWidth="1"/>
    <col min="14" max="14" width="9.140625" style="6"/>
    <col min="15" max="15" width="44" style="6" customWidth="1"/>
    <col min="16" max="16384" width="9.140625" style="6"/>
  </cols>
  <sheetData>
    <row r="1" spans="1:16" ht="20.100000000000001" customHeight="1">
      <c r="A1" s="96" t="s">
        <v>155</v>
      </c>
      <c r="B1" s="96"/>
      <c r="C1" s="96"/>
    </row>
    <row r="2" spans="1:16" ht="6.75" customHeight="1">
      <c r="A2" s="96"/>
      <c r="B2" s="96"/>
      <c r="C2" s="96"/>
    </row>
    <row r="3" spans="1:16" ht="7.5" customHeight="1">
      <c r="A3" s="96"/>
      <c r="B3" s="96"/>
      <c r="C3" s="96"/>
    </row>
    <row r="4" spans="1:16" ht="6" customHeight="1">
      <c r="A4" s="97"/>
      <c r="B4" s="97"/>
      <c r="C4" s="97"/>
    </row>
    <row r="5" spans="1:16" ht="15" customHeight="1">
      <c r="A5" s="114" t="s">
        <v>22</v>
      </c>
      <c r="B5" s="114"/>
      <c r="C5" s="114"/>
    </row>
    <row r="6" spans="1:16" ht="4.5" customHeight="1">
      <c r="A6" s="114"/>
      <c r="B6" s="114"/>
      <c r="C6" s="114"/>
    </row>
    <row r="7" spans="1:16" ht="15" customHeight="1">
      <c r="A7" s="36" t="s">
        <v>4</v>
      </c>
      <c r="B7" s="122" t="s">
        <v>135</v>
      </c>
      <c r="C7" s="122"/>
    </row>
    <row r="8" spans="1:16" ht="15" customHeight="1">
      <c r="A8" s="36" t="s">
        <v>27</v>
      </c>
      <c r="B8" s="114" t="s">
        <v>67</v>
      </c>
      <c r="C8" s="114"/>
    </row>
    <row r="9" spans="1:16" ht="15" customHeight="1">
      <c r="A9" s="36" t="s">
        <v>28</v>
      </c>
      <c r="B9" s="123" t="s">
        <v>143</v>
      </c>
      <c r="C9" s="123"/>
    </row>
    <row r="10" spans="1:16" ht="18" customHeight="1">
      <c r="A10" s="36" t="s">
        <v>23</v>
      </c>
      <c r="B10" s="124" t="s">
        <v>147</v>
      </c>
      <c r="C10" s="125"/>
    </row>
    <row r="11" spans="1:16" ht="15" customHeight="1">
      <c r="A11" s="36" t="s">
        <v>58</v>
      </c>
      <c r="B11" s="126">
        <v>12</v>
      </c>
      <c r="C11" s="127"/>
      <c r="E11" s="85"/>
    </row>
    <row r="12" spans="1:16" ht="9" customHeight="1">
      <c r="A12" s="37"/>
      <c r="B12" s="38"/>
      <c r="C12" s="38"/>
      <c r="G12" s="17"/>
    </row>
    <row r="13" spans="1:16" ht="15" customHeight="1">
      <c r="A13" s="121" t="s">
        <v>24</v>
      </c>
      <c r="B13" s="121"/>
      <c r="C13" s="121"/>
      <c r="G13" s="17"/>
    </row>
    <row r="14" spans="1:16" ht="42.75" customHeight="1">
      <c r="A14" s="121"/>
      <c r="B14" s="121"/>
      <c r="C14" s="121"/>
      <c r="P14" s="32"/>
    </row>
    <row r="15" spans="1:16" ht="8.25" customHeight="1">
      <c r="A15" s="39"/>
      <c r="B15" s="39"/>
      <c r="C15" s="39"/>
    </row>
    <row r="16" spans="1:16" ht="15" customHeight="1">
      <c r="A16" s="98" t="s">
        <v>73</v>
      </c>
      <c r="B16" s="98"/>
      <c r="C16" s="98"/>
    </row>
    <row r="17" spans="1:15" ht="15" customHeight="1">
      <c r="A17" s="40" t="s">
        <v>5</v>
      </c>
      <c r="B17" s="41"/>
      <c r="C17" s="42"/>
      <c r="E17" s="8"/>
    </row>
    <row r="18" spans="1:15" ht="15" customHeight="1">
      <c r="A18" s="43" t="s">
        <v>106</v>
      </c>
      <c r="B18" s="44"/>
      <c r="C18" s="5">
        <v>2188.1999999999998</v>
      </c>
      <c r="D18" s="95"/>
      <c r="E18" s="8"/>
    </row>
    <row r="19" spans="1:15" ht="15" customHeight="1">
      <c r="A19" s="43" t="s">
        <v>152</v>
      </c>
      <c r="B19" s="44"/>
      <c r="C19" s="5">
        <f>C18/220*150</f>
        <v>1491.95</v>
      </c>
      <c r="D19" s="33"/>
      <c r="E19" s="8"/>
    </row>
    <row r="20" spans="1:15" ht="15" customHeight="1">
      <c r="A20" s="43" t="s">
        <v>142</v>
      </c>
      <c r="B20" s="83">
        <v>0.3</v>
      </c>
      <c r="C20" s="5">
        <f>C19*30%</f>
        <v>447.59</v>
      </c>
      <c r="D20" s="33" t="s">
        <v>154</v>
      </c>
      <c r="E20" s="8"/>
    </row>
    <row r="21" spans="1:15" s="9" customFormat="1" ht="15" customHeight="1">
      <c r="A21" s="16" t="s">
        <v>7</v>
      </c>
      <c r="B21" s="41"/>
      <c r="C21" s="13">
        <f>SUM(C19:C20)</f>
        <v>1939.54</v>
      </c>
      <c r="F21" s="10"/>
    </row>
    <row r="22" spans="1:15" ht="6.75" customHeight="1">
      <c r="A22" s="45"/>
      <c r="B22" s="46"/>
      <c r="C22" s="47"/>
    </row>
    <row r="23" spans="1:15" ht="15" customHeight="1">
      <c r="A23" s="98" t="s">
        <v>29</v>
      </c>
      <c r="B23" s="98"/>
      <c r="C23" s="98"/>
    </row>
    <row r="24" spans="1:15" ht="15" customHeight="1">
      <c r="A24" s="14" t="s">
        <v>110</v>
      </c>
      <c r="B24" s="14"/>
      <c r="C24" s="14"/>
      <c r="D24" s="128" t="s">
        <v>111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1:15" ht="15" customHeight="1">
      <c r="A25" s="49" t="s">
        <v>11</v>
      </c>
      <c r="B25" s="50">
        <v>8.3299999999999999E-2</v>
      </c>
      <c r="C25" s="51">
        <f>$C$21*B25</f>
        <v>161.56</v>
      </c>
      <c r="D25" s="128" t="s">
        <v>74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1:15" ht="15" customHeight="1">
      <c r="A26" s="49" t="s">
        <v>26</v>
      </c>
      <c r="B26" s="52">
        <v>8.3299999999999999E-2</v>
      </c>
      <c r="C26" s="51">
        <f>$C$21*B26</f>
        <v>161.56</v>
      </c>
      <c r="D26" s="128" t="s">
        <v>119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</row>
    <row r="27" spans="1:15" ht="15" customHeight="1">
      <c r="A27" s="49" t="s">
        <v>0</v>
      </c>
      <c r="B27" s="52">
        <v>2.7799999999999998E-2</v>
      </c>
      <c r="C27" s="51">
        <f>$C$21*B27</f>
        <v>53.92</v>
      </c>
      <c r="D27" s="128" t="s">
        <v>75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  <row r="28" spans="1:15">
      <c r="A28" s="16" t="s">
        <v>9</v>
      </c>
      <c r="B28" s="54">
        <f>SUM(B25:B27)</f>
        <v>0.19439999999999999</v>
      </c>
      <c r="C28" s="55">
        <f>SUM(C25:C27)</f>
        <v>377.04</v>
      </c>
      <c r="D28" s="81"/>
    </row>
    <row r="29" spans="1:15" ht="13.5" customHeight="1">
      <c r="A29" s="29"/>
      <c r="B29" s="29"/>
      <c r="C29" s="29"/>
      <c r="D29" s="81"/>
    </row>
    <row r="30" spans="1:15" ht="37.5" customHeight="1">
      <c r="A30" s="40" t="s">
        <v>59</v>
      </c>
      <c r="B30" s="42" t="s">
        <v>6</v>
      </c>
      <c r="C30" s="42" t="s">
        <v>10</v>
      </c>
      <c r="D30" s="130" t="s">
        <v>112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1:15" ht="15" customHeight="1">
      <c r="A31" s="49" t="s">
        <v>8</v>
      </c>
      <c r="B31" s="52">
        <v>0.2</v>
      </c>
      <c r="C31" s="51">
        <f t="shared" ref="C31:C38" si="0">$C$21*B31</f>
        <v>387.91</v>
      </c>
      <c r="D31" s="128" t="s">
        <v>76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spans="1:15" ht="15" customHeight="1">
      <c r="A32" s="49" t="s">
        <v>30</v>
      </c>
      <c r="B32" s="52">
        <v>2.5000000000000001E-2</v>
      </c>
      <c r="C32" s="51">
        <f t="shared" si="0"/>
        <v>48.49</v>
      </c>
      <c r="D32" s="130" t="s">
        <v>100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</row>
    <row r="33" spans="1:16" ht="15" customHeight="1">
      <c r="A33" s="49" t="s">
        <v>77</v>
      </c>
      <c r="B33" s="52">
        <v>0.03</v>
      </c>
      <c r="C33" s="51">
        <f t="shared" si="0"/>
        <v>58.19</v>
      </c>
      <c r="D33" s="128" t="s">
        <v>78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1:16" ht="15" customHeight="1">
      <c r="A34" s="49" t="s">
        <v>31</v>
      </c>
      <c r="B34" s="52">
        <v>1.4999999999999999E-2</v>
      </c>
      <c r="C34" s="51">
        <f t="shared" si="0"/>
        <v>29.09</v>
      </c>
      <c r="D34" s="128" t="s">
        <v>79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spans="1:16" ht="15" customHeight="1">
      <c r="A35" s="49" t="s">
        <v>32</v>
      </c>
      <c r="B35" s="52">
        <v>0.01</v>
      </c>
      <c r="C35" s="51">
        <f t="shared" si="0"/>
        <v>19.399999999999999</v>
      </c>
      <c r="D35" s="128" t="s">
        <v>80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1:16" ht="15" customHeight="1">
      <c r="A36" s="49" t="s">
        <v>33</v>
      </c>
      <c r="B36" s="52">
        <v>6.0000000000000001E-3</v>
      </c>
      <c r="C36" s="51">
        <f t="shared" si="0"/>
        <v>11.64</v>
      </c>
      <c r="D36" s="130" t="s">
        <v>101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</row>
    <row r="37" spans="1:16" ht="15" customHeight="1">
      <c r="A37" s="49" t="s">
        <v>34</v>
      </c>
      <c r="B37" s="52">
        <v>2E-3</v>
      </c>
      <c r="C37" s="51">
        <f t="shared" si="0"/>
        <v>3.88</v>
      </c>
      <c r="D37" s="130" t="s">
        <v>102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1:16" ht="15" customHeight="1">
      <c r="A38" s="49" t="s">
        <v>35</v>
      </c>
      <c r="B38" s="52">
        <v>0.08</v>
      </c>
      <c r="C38" s="51">
        <f t="shared" si="0"/>
        <v>155.16</v>
      </c>
      <c r="D38" s="130" t="s">
        <v>81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1:16">
      <c r="A39" s="16" t="s">
        <v>38</v>
      </c>
      <c r="B39" s="56">
        <f>SUM(B31:B38)</f>
        <v>0.36799999999999999</v>
      </c>
      <c r="C39" s="13">
        <f>SUM(C31:C38)</f>
        <v>713.76</v>
      </c>
      <c r="D39" s="81"/>
    </row>
    <row r="40" spans="1:16" ht="7.5" customHeight="1">
      <c r="A40" s="29"/>
      <c r="B40" s="29"/>
      <c r="C40" s="29"/>
      <c r="D40" s="81"/>
    </row>
    <row r="41" spans="1:16" ht="15" customHeight="1">
      <c r="A41" s="118" t="s">
        <v>36</v>
      </c>
      <c r="B41" s="118"/>
      <c r="C41" s="118"/>
      <c r="D41" s="80" t="s">
        <v>103</v>
      </c>
    </row>
    <row r="42" spans="1:16" ht="15" customHeight="1">
      <c r="A42" s="4" t="s">
        <v>109</v>
      </c>
      <c r="B42" s="5"/>
      <c r="C42" s="82">
        <f>(20.98*3.4*2) - (C18*6%)</f>
        <v>11.37</v>
      </c>
      <c r="D42" s="35" t="s">
        <v>153</v>
      </c>
      <c r="E42" s="28"/>
    </row>
    <row r="43" spans="1:16" ht="15" customHeight="1">
      <c r="A43" s="4" t="s">
        <v>37</v>
      </c>
      <c r="B43" s="5"/>
      <c r="C43" s="5">
        <f>41.76*15*80%</f>
        <v>501.12</v>
      </c>
      <c r="D43" s="128" t="s">
        <v>144</v>
      </c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</row>
    <row r="44" spans="1:16" ht="15" customHeight="1">
      <c r="A44" s="4" t="s">
        <v>108</v>
      </c>
      <c r="B44" s="5"/>
      <c r="C44" s="5">
        <f>626.4/12</f>
        <v>52.2</v>
      </c>
      <c r="D44" s="128" t="s">
        <v>118</v>
      </c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</row>
    <row r="45" spans="1:16" ht="15" customHeight="1">
      <c r="A45" s="27" t="s">
        <v>146</v>
      </c>
      <c r="B45" s="14"/>
      <c r="C45" s="5">
        <v>111.25</v>
      </c>
      <c r="D45" s="128" t="s">
        <v>145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</row>
    <row r="46" spans="1:16" ht="15" customHeight="1">
      <c r="A46" s="27" t="s">
        <v>148</v>
      </c>
      <c r="B46" s="93"/>
      <c r="C46" s="5">
        <f>17.54/2</f>
        <v>8.77</v>
      </c>
      <c r="D46" s="128" t="s">
        <v>149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</row>
    <row r="47" spans="1:16" ht="15" customHeight="1">
      <c r="A47" s="4" t="s">
        <v>107</v>
      </c>
      <c r="B47" s="5"/>
      <c r="C47" s="5">
        <f>SUM(B47/12)</f>
        <v>0</v>
      </c>
    </row>
    <row r="48" spans="1:16">
      <c r="A48" s="16" t="s">
        <v>38</v>
      </c>
      <c r="B48" s="14"/>
      <c r="C48" s="13">
        <f>SUM(C42:C47)</f>
        <v>684.71</v>
      </c>
    </row>
    <row r="49" spans="1:6" ht="6" customHeight="1">
      <c r="A49" s="29"/>
      <c r="B49" s="29"/>
      <c r="C49" s="29"/>
    </row>
    <row r="50" spans="1:6" ht="15" customHeight="1">
      <c r="A50" s="16" t="s">
        <v>51</v>
      </c>
      <c r="B50" s="57"/>
      <c r="C50" s="42" t="s">
        <v>10</v>
      </c>
    </row>
    <row r="51" spans="1:6" ht="15" customHeight="1">
      <c r="A51" s="16" t="s">
        <v>110</v>
      </c>
      <c r="B51" s="58"/>
      <c r="C51" s="59">
        <f>+C28</f>
        <v>377.04</v>
      </c>
      <c r="D51" s="33" t="s">
        <v>111</v>
      </c>
    </row>
    <row r="52" spans="1:6" ht="15" customHeight="1">
      <c r="A52" s="43" t="s">
        <v>60</v>
      </c>
      <c r="B52" s="60"/>
      <c r="C52" s="61">
        <f>+C39</f>
        <v>713.76</v>
      </c>
    </row>
    <row r="53" spans="1:6" ht="15" customHeight="1">
      <c r="A53" s="43" t="s">
        <v>36</v>
      </c>
      <c r="B53" s="58"/>
      <c r="C53" s="61">
        <f>+C48</f>
        <v>684.71</v>
      </c>
      <c r="D53" s="15"/>
    </row>
    <row r="54" spans="1:6">
      <c r="A54" s="16" t="s">
        <v>38</v>
      </c>
      <c r="B54" s="60"/>
      <c r="C54" s="59">
        <f>SUM(C51:C53)</f>
        <v>1775.51</v>
      </c>
    </row>
    <row r="55" spans="1:6" ht="6.75" customHeight="1">
      <c r="A55" s="29"/>
      <c r="B55" s="29"/>
      <c r="C55" s="29"/>
    </row>
    <row r="56" spans="1:6" ht="15" customHeight="1">
      <c r="A56" s="98" t="s">
        <v>39</v>
      </c>
      <c r="B56" s="98"/>
      <c r="C56" s="98"/>
    </row>
    <row r="57" spans="1:6" ht="15" customHeight="1">
      <c r="A57" s="53" t="s">
        <v>40</v>
      </c>
      <c r="B57" s="42" t="s">
        <v>6</v>
      </c>
      <c r="C57" s="42" t="s">
        <v>10</v>
      </c>
    </row>
    <row r="58" spans="1:6" ht="15" customHeight="1">
      <c r="A58" s="49" t="s">
        <v>12</v>
      </c>
      <c r="B58" s="52">
        <v>4.1999999999999997E-3</v>
      </c>
      <c r="C58" s="51">
        <f>$C$21*B58</f>
        <v>8.15</v>
      </c>
      <c r="D58" s="33" t="s">
        <v>82</v>
      </c>
    </row>
    <row r="59" spans="1:6" ht="15" customHeight="1">
      <c r="A59" s="49" t="s">
        <v>13</v>
      </c>
      <c r="B59" s="62">
        <v>3.3E-4</v>
      </c>
      <c r="C59" s="51">
        <f>$C$21*B59</f>
        <v>0.64</v>
      </c>
      <c r="D59" s="33" t="s">
        <v>83</v>
      </c>
    </row>
    <row r="60" spans="1:6" ht="15" customHeight="1">
      <c r="A60" s="49" t="s">
        <v>14</v>
      </c>
      <c r="B60" s="62">
        <v>1.6000000000000001E-4</v>
      </c>
      <c r="C60" s="51">
        <f t="shared" ref="C60:C61" si="1">$C$21*B60</f>
        <v>0.31</v>
      </c>
      <c r="D60" s="33" t="s">
        <v>84</v>
      </c>
    </row>
    <row r="61" spans="1:6" ht="15" customHeight="1">
      <c r="A61" s="49" t="s">
        <v>15</v>
      </c>
      <c r="B61" s="52">
        <f>((7/30)/12)</f>
        <v>1.9400000000000001E-2</v>
      </c>
      <c r="C61" s="51">
        <f t="shared" si="1"/>
        <v>37.630000000000003</v>
      </c>
      <c r="D61" s="33" t="s">
        <v>85</v>
      </c>
      <c r="E61" s="28"/>
      <c r="F61" s="31"/>
    </row>
    <row r="62" spans="1:6" ht="15" customHeight="1">
      <c r="A62" s="49" t="s">
        <v>41</v>
      </c>
      <c r="B62" s="52">
        <f>+B61*B39</f>
        <v>7.1000000000000004E-3</v>
      </c>
      <c r="C62" s="51">
        <f>$C$21*B62</f>
        <v>13.77</v>
      </c>
      <c r="D62" s="6" t="s">
        <v>86</v>
      </c>
    </row>
    <row r="63" spans="1:6" ht="15" customHeight="1">
      <c r="A63" s="49" t="s">
        <v>62</v>
      </c>
      <c r="B63" s="62">
        <v>7.6999999999999996E-4</v>
      </c>
      <c r="C63" s="51">
        <f>+B63*C21</f>
        <v>1.49</v>
      </c>
      <c r="D63" s="33" t="s">
        <v>87</v>
      </c>
    </row>
    <row r="64" spans="1:6" ht="15" customHeight="1">
      <c r="A64" s="16" t="s">
        <v>9</v>
      </c>
      <c r="B64" s="54">
        <f>SUM(B58:B62)</f>
        <v>3.1199999999999999E-2</v>
      </c>
      <c r="C64" s="55">
        <f>SUM(C58:C63)</f>
        <v>61.99</v>
      </c>
    </row>
    <row r="65" spans="1:16" ht="6" customHeight="1">
      <c r="A65" s="29"/>
      <c r="B65" s="29"/>
      <c r="C65" s="63"/>
    </row>
    <row r="66" spans="1:16" ht="15" customHeight="1">
      <c r="A66" s="98" t="s">
        <v>53</v>
      </c>
      <c r="B66" s="98"/>
      <c r="C66" s="98"/>
    </row>
    <row r="67" spans="1:16" ht="15" customHeight="1">
      <c r="A67" s="118" t="s">
        <v>63</v>
      </c>
      <c r="B67" s="118"/>
      <c r="C67" s="118"/>
      <c r="E67" s="12"/>
    </row>
    <row r="68" spans="1:16" ht="15" customHeight="1">
      <c r="A68" s="4" t="s">
        <v>69</v>
      </c>
      <c r="B68" s="52">
        <v>8.3299999999999999E-2</v>
      </c>
      <c r="C68" s="5">
        <f>+B68*$C$21</f>
        <v>161.56</v>
      </c>
      <c r="D68" s="33" t="s">
        <v>91</v>
      </c>
      <c r="E68" s="12"/>
    </row>
    <row r="69" spans="1:16" ht="15" customHeight="1">
      <c r="A69" s="4" t="s">
        <v>64</v>
      </c>
      <c r="B69" s="52">
        <f>((20/30)/12)*0.015</f>
        <v>8.0000000000000004E-4</v>
      </c>
      <c r="C69" s="5">
        <f t="shared" ref="C69:C72" si="2">+B69*$C$21</f>
        <v>1.55</v>
      </c>
      <c r="D69" s="130" t="s">
        <v>89</v>
      </c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</row>
    <row r="70" spans="1:16" ht="15" customHeight="1">
      <c r="A70" s="4" t="s">
        <v>65</v>
      </c>
      <c r="B70" s="52">
        <f>(15/30)/12*0.0078</f>
        <v>2.9999999999999997E-4</v>
      </c>
      <c r="C70" s="5">
        <f t="shared" si="2"/>
        <v>0.57999999999999996</v>
      </c>
      <c r="D70" s="33" t="s">
        <v>90</v>
      </c>
    </row>
    <row r="71" spans="1:16" ht="15" customHeight="1">
      <c r="A71" s="4" t="s">
        <v>66</v>
      </c>
      <c r="B71" s="52">
        <v>1.2999999999999999E-3</v>
      </c>
      <c r="C71" s="5">
        <f t="shared" si="2"/>
        <v>2.52</v>
      </c>
      <c r="D71" s="33" t="s">
        <v>89</v>
      </c>
    </row>
    <row r="72" spans="1:16" ht="15" customHeight="1">
      <c r="A72" s="4" t="s">
        <v>68</v>
      </c>
      <c r="B72" s="52">
        <v>8.2000000000000007E-3</v>
      </c>
      <c r="C72" s="5">
        <f t="shared" si="2"/>
        <v>15.9</v>
      </c>
      <c r="D72" s="33" t="s">
        <v>88</v>
      </c>
    </row>
    <row r="73" spans="1:16" ht="15" customHeight="1">
      <c r="A73" s="4" t="s">
        <v>70</v>
      </c>
      <c r="B73" s="52"/>
      <c r="C73" s="5"/>
    </row>
    <row r="74" spans="1:16" ht="15" customHeight="1">
      <c r="A74" s="16" t="s">
        <v>9</v>
      </c>
      <c r="B74" s="52"/>
      <c r="C74" s="13">
        <f>SUM(C68:C73)</f>
        <v>182.11</v>
      </c>
    </row>
    <row r="75" spans="1:16" ht="10.5" customHeight="1">
      <c r="A75" s="48"/>
      <c r="B75" s="64"/>
      <c r="C75" s="65"/>
    </row>
    <row r="76" spans="1:16" ht="15" customHeight="1">
      <c r="A76" s="98" t="s">
        <v>113</v>
      </c>
      <c r="B76" s="98"/>
      <c r="C76" s="98"/>
      <c r="D76" s="33" t="s">
        <v>114</v>
      </c>
      <c r="E76" s="33"/>
      <c r="G76" s="33"/>
      <c r="H76" s="33"/>
      <c r="I76" s="33"/>
      <c r="J76" s="33"/>
    </row>
    <row r="77" spans="1:16" ht="15" customHeight="1">
      <c r="A77" s="84" t="s">
        <v>115</v>
      </c>
      <c r="B77" s="57"/>
      <c r="C77" s="42" t="s">
        <v>10</v>
      </c>
      <c r="D77" s="33" t="s">
        <v>116</v>
      </c>
      <c r="E77" s="33"/>
      <c r="G77" s="33"/>
      <c r="H77" s="33"/>
      <c r="I77" s="33"/>
      <c r="J77" s="33"/>
    </row>
    <row r="78" spans="1:16" ht="15" customHeight="1">
      <c r="A78" s="4" t="s">
        <v>117</v>
      </c>
      <c r="B78" s="58"/>
      <c r="C78" s="61">
        <f>C21/220*(20.98*15/60)*1.5</f>
        <v>69.36</v>
      </c>
      <c r="D78" s="33" t="s">
        <v>158</v>
      </c>
      <c r="E78" s="33"/>
      <c r="G78" s="33"/>
      <c r="H78" s="33"/>
      <c r="I78" s="33"/>
      <c r="J78" s="33"/>
    </row>
    <row r="79" spans="1:16" ht="14.25" customHeight="1">
      <c r="A79" s="16" t="s">
        <v>9</v>
      </c>
      <c r="B79" s="52"/>
      <c r="C79" s="13">
        <f>SUM(C78:C78)</f>
        <v>69.36</v>
      </c>
      <c r="D79" s="33"/>
      <c r="E79" s="33"/>
      <c r="G79" s="33"/>
      <c r="H79" s="33"/>
      <c r="I79" s="33"/>
      <c r="J79" s="33"/>
    </row>
    <row r="80" spans="1:16" ht="12" customHeight="1">
      <c r="A80" s="48"/>
      <c r="B80" s="29"/>
      <c r="C80" s="29"/>
    </row>
    <row r="81" spans="1:5" ht="15" customHeight="1">
      <c r="A81" s="98" t="s">
        <v>54</v>
      </c>
      <c r="B81" s="98"/>
      <c r="C81" s="98"/>
    </row>
    <row r="82" spans="1:5" ht="15" customHeight="1">
      <c r="A82" s="14" t="s">
        <v>42</v>
      </c>
      <c r="B82" s="57"/>
      <c r="C82" s="42" t="s">
        <v>10</v>
      </c>
    </row>
    <row r="83" spans="1:5" ht="15" customHeight="1">
      <c r="A83" s="4" t="s">
        <v>156</v>
      </c>
      <c r="B83" s="58"/>
      <c r="C83" s="61">
        <f>'UNIFORMES E EQUIP.'!D13</f>
        <v>180.98</v>
      </c>
      <c r="D83" s="33" t="s">
        <v>92</v>
      </c>
    </row>
    <row r="84" spans="1:5" ht="15" customHeight="1">
      <c r="A84" s="16" t="s">
        <v>9</v>
      </c>
      <c r="B84" s="52"/>
      <c r="C84" s="13">
        <f>SUM(C83:C83)</f>
        <v>180.98</v>
      </c>
    </row>
    <row r="85" spans="1:5" ht="8.25" customHeight="1">
      <c r="A85" s="48"/>
      <c r="B85" s="64"/>
      <c r="C85" s="65"/>
    </row>
    <row r="86" spans="1:5" ht="15" customHeight="1">
      <c r="A86" s="98" t="s">
        <v>43</v>
      </c>
      <c r="B86" s="98"/>
      <c r="C86" s="98"/>
    </row>
    <row r="87" spans="1:5" ht="15" customHeight="1">
      <c r="A87" s="16" t="s">
        <v>45</v>
      </c>
      <c r="B87" s="56" t="s">
        <v>6</v>
      </c>
      <c r="C87" s="67" t="s">
        <v>10</v>
      </c>
      <c r="E87" s="17"/>
    </row>
    <row r="88" spans="1:5" ht="18" customHeight="1">
      <c r="A88" s="113" t="s">
        <v>55</v>
      </c>
      <c r="B88" s="113"/>
      <c r="C88" s="112">
        <f>+C84+C79+C74+C64+C54+C21</f>
        <v>4209.49</v>
      </c>
      <c r="E88" s="17"/>
    </row>
    <row r="89" spans="1:5" ht="21" customHeight="1">
      <c r="A89" s="113"/>
      <c r="B89" s="113"/>
      <c r="C89" s="112"/>
    </row>
    <row r="90" spans="1:5" ht="15" customHeight="1">
      <c r="A90" s="16" t="s">
        <v>94</v>
      </c>
      <c r="B90" s="68">
        <v>0.05</v>
      </c>
      <c r="C90" s="55">
        <f>C88*B90</f>
        <v>210.47</v>
      </c>
      <c r="D90" s="33" t="s">
        <v>95</v>
      </c>
    </row>
    <row r="91" spans="1:5" ht="15" customHeight="1">
      <c r="A91" s="111" t="s">
        <v>56</v>
      </c>
      <c r="B91" s="111"/>
      <c r="C91" s="112">
        <f>C88+C90</f>
        <v>4419.96</v>
      </c>
    </row>
    <row r="92" spans="1:5" ht="15" customHeight="1">
      <c r="A92" s="111"/>
      <c r="B92" s="111"/>
      <c r="C92" s="112"/>
    </row>
    <row r="93" spans="1:5" ht="15" customHeight="1">
      <c r="A93" s="16" t="s">
        <v>1</v>
      </c>
      <c r="B93" s="68">
        <v>6.7900000000000002E-2</v>
      </c>
      <c r="C93" s="55">
        <f>C91*B93</f>
        <v>300.12</v>
      </c>
      <c r="D93" s="33" t="s">
        <v>93</v>
      </c>
    </row>
    <row r="94" spans="1:5" ht="15" customHeight="1">
      <c r="A94" s="40" t="s">
        <v>2</v>
      </c>
      <c r="B94" s="69"/>
      <c r="C94" s="27"/>
    </row>
    <row r="95" spans="1:5" ht="15" customHeight="1">
      <c r="A95" s="113" t="s">
        <v>44</v>
      </c>
      <c r="B95" s="113"/>
      <c r="C95" s="70">
        <f>+C93+C90+C88</f>
        <v>4720.08</v>
      </c>
    </row>
    <row r="96" spans="1:5" ht="25.5" customHeight="1">
      <c r="A96" s="113" t="s">
        <v>25</v>
      </c>
      <c r="B96" s="113"/>
      <c r="C96" s="113"/>
    </row>
    <row r="97" spans="1:9" ht="15" customHeight="1">
      <c r="A97" s="43" t="s">
        <v>57</v>
      </c>
      <c r="B97" s="119"/>
      <c r="C97" s="120"/>
      <c r="D97" s="33" t="s">
        <v>96</v>
      </c>
      <c r="H97" s="25"/>
      <c r="I97" s="25"/>
    </row>
    <row r="98" spans="1:9" ht="15" customHeight="1">
      <c r="A98" s="43" t="s">
        <v>52</v>
      </c>
      <c r="B98" s="68">
        <v>7.5999999999999998E-2</v>
      </c>
      <c r="C98" s="55">
        <f>(C95)*B98/(1-(B101))</f>
        <v>418.34</v>
      </c>
      <c r="D98" s="33" t="s">
        <v>98</v>
      </c>
      <c r="E98" s="17"/>
      <c r="H98" s="26"/>
      <c r="I98" s="26"/>
    </row>
    <row r="99" spans="1:9" ht="15" customHeight="1">
      <c r="A99" s="43" t="s">
        <v>16</v>
      </c>
      <c r="B99" s="68">
        <v>1.6500000000000001E-2</v>
      </c>
      <c r="C99" s="55">
        <f>(C95)*B99/(1-(B101))</f>
        <v>90.82</v>
      </c>
      <c r="D99" s="33" t="s">
        <v>97</v>
      </c>
      <c r="H99" s="26"/>
      <c r="I99" s="26"/>
    </row>
    <row r="100" spans="1:9" ht="15" customHeight="1">
      <c r="A100" s="43" t="s">
        <v>71</v>
      </c>
      <c r="B100" s="68">
        <v>0.05</v>
      </c>
      <c r="C100" s="55">
        <f>(C95)*B100/(1-(B101))</f>
        <v>275.22000000000003</v>
      </c>
      <c r="D100" s="33" t="s">
        <v>99</v>
      </c>
      <c r="I100" s="26"/>
    </row>
    <row r="101" spans="1:9" ht="15" customHeight="1">
      <c r="A101" s="71" t="s">
        <v>3</v>
      </c>
      <c r="B101" s="72">
        <f>SUM(B98:B100)</f>
        <v>0.14249999999999999</v>
      </c>
      <c r="C101" s="73">
        <f>SUM(C98:C100)</f>
        <v>784.38</v>
      </c>
    </row>
    <row r="102" spans="1:9" ht="15" customHeight="1">
      <c r="A102" s="16" t="s">
        <v>9</v>
      </c>
      <c r="B102" s="56"/>
      <c r="C102" s="55">
        <f>C90+C93+C101</f>
        <v>1294.97</v>
      </c>
    </row>
    <row r="103" spans="1:9" ht="15" customHeight="1" thickBot="1">
      <c r="A103" s="48"/>
      <c r="B103" s="74"/>
      <c r="C103" s="66"/>
    </row>
    <row r="104" spans="1:9" ht="24" customHeight="1" thickBot="1">
      <c r="A104" s="115" t="s">
        <v>17</v>
      </c>
      <c r="B104" s="116"/>
      <c r="C104" s="117"/>
    </row>
    <row r="105" spans="1:9" ht="5.25" customHeight="1">
      <c r="A105" s="45"/>
      <c r="B105" s="46"/>
      <c r="C105" s="47"/>
    </row>
    <row r="106" spans="1:9" ht="15" customHeight="1">
      <c r="A106" s="101" t="s">
        <v>18</v>
      </c>
      <c r="B106" s="102"/>
      <c r="C106" s="42" t="s">
        <v>19</v>
      </c>
    </row>
    <row r="107" spans="1:9" ht="15" customHeight="1">
      <c r="A107" s="103" t="s">
        <v>20</v>
      </c>
      <c r="B107" s="104"/>
      <c r="C107" s="75">
        <f>C21</f>
        <v>1939.54</v>
      </c>
    </row>
    <row r="108" spans="1:9" ht="15" customHeight="1">
      <c r="A108" s="105" t="s">
        <v>46</v>
      </c>
      <c r="B108" s="106"/>
      <c r="C108" s="75">
        <f>+C54</f>
        <v>1775.51</v>
      </c>
    </row>
    <row r="109" spans="1:9" ht="15" customHeight="1">
      <c r="A109" s="105" t="s">
        <v>47</v>
      </c>
      <c r="B109" s="106"/>
      <c r="C109" s="75">
        <f>+C64</f>
        <v>61.99</v>
      </c>
    </row>
    <row r="110" spans="1:9" ht="15" customHeight="1">
      <c r="A110" s="105" t="s">
        <v>48</v>
      </c>
      <c r="B110" s="106"/>
      <c r="C110" s="75">
        <f>C74+C79</f>
        <v>251.47</v>
      </c>
    </row>
    <row r="111" spans="1:9" ht="15" customHeight="1">
      <c r="A111" s="107" t="s">
        <v>49</v>
      </c>
      <c r="B111" s="108"/>
      <c r="C111" s="76">
        <f>+C84</f>
        <v>180.98</v>
      </c>
    </row>
    <row r="112" spans="1:9" ht="15" customHeight="1">
      <c r="A112" s="101" t="s">
        <v>61</v>
      </c>
      <c r="B112" s="102"/>
      <c r="C112" s="77">
        <f>SUM(C107:C111)</f>
        <v>4209.49</v>
      </c>
    </row>
    <row r="113" spans="1:5" ht="15" customHeight="1" thickBot="1">
      <c r="A113" s="109" t="s">
        <v>50</v>
      </c>
      <c r="B113" s="110"/>
      <c r="C113" s="78">
        <f>C102</f>
        <v>1294.97</v>
      </c>
    </row>
    <row r="114" spans="1:5" ht="18" customHeight="1" thickBot="1">
      <c r="A114" s="99" t="s">
        <v>21</v>
      </c>
      <c r="B114" s="100"/>
      <c r="C114" s="79">
        <f>TRUNC(C112+C113,2)</f>
        <v>5504.46</v>
      </c>
      <c r="E114" s="30"/>
    </row>
    <row r="115" spans="1:5" ht="9" customHeight="1">
      <c r="A115" s="1"/>
      <c r="B115" s="3"/>
      <c r="C115" s="2"/>
    </row>
    <row r="116" spans="1:5" ht="20.25" customHeight="1">
      <c r="A116" s="34" t="s">
        <v>72</v>
      </c>
      <c r="B116" s="136">
        <v>34</v>
      </c>
      <c r="C116" s="136"/>
    </row>
    <row r="117" spans="1:5" ht="20.25" customHeight="1">
      <c r="A117" s="34" t="s">
        <v>104</v>
      </c>
      <c r="B117" s="133">
        <f>C114*B116</f>
        <v>187151.64</v>
      </c>
      <c r="C117" s="133"/>
    </row>
    <row r="118" spans="1:5" ht="21" customHeight="1">
      <c r="A118" s="34" t="s">
        <v>105</v>
      </c>
      <c r="B118" s="133">
        <f>B117*B11</f>
        <v>2245819.6800000002</v>
      </c>
      <c r="C118" s="133"/>
    </row>
    <row r="119" spans="1:5" ht="15" customHeight="1"/>
    <row r="120" spans="1:5" ht="49.5" customHeight="1">
      <c r="A120" s="134" t="s">
        <v>136</v>
      </c>
      <c r="B120" s="134"/>
      <c r="C120" s="134"/>
    </row>
    <row r="121" spans="1:5" ht="39.75" customHeight="1">
      <c r="A121" s="134" t="s">
        <v>137</v>
      </c>
      <c r="B121" s="134"/>
      <c r="C121" s="134"/>
    </row>
    <row r="122" spans="1:5" ht="56.25" customHeight="1">
      <c r="A122" s="134" t="s">
        <v>138</v>
      </c>
      <c r="B122" s="134"/>
      <c r="C122" s="134"/>
    </row>
    <row r="123" spans="1:5" ht="26.25" customHeight="1">
      <c r="A123" s="134" t="s">
        <v>139</v>
      </c>
      <c r="B123" s="134"/>
      <c r="C123" s="134"/>
    </row>
    <row r="124" spans="1:5" ht="80.25" customHeight="1">
      <c r="A124" s="134" t="s">
        <v>141</v>
      </c>
      <c r="B124" s="134"/>
      <c r="C124" s="134"/>
    </row>
    <row r="125" spans="1:5" ht="27.75" customHeight="1">
      <c r="A125" s="134" t="s">
        <v>140</v>
      </c>
      <c r="B125" s="134"/>
      <c r="C125" s="134"/>
    </row>
    <row r="126" spans="1:5" ht="15" customHeight="1">
      <c r="A126" s="20"/>
      <c r="B126" s="11"/>
    </row>
    <row r="127" spans="1:5">
      <c r="A127" s="20"/>
      <c r="B127" s="11"/>
    </row>
    <row r="128" spans="1:5">
      <c r="A128" s="20"/>
      <c r="B128" s="11"/>
    </row>
    <row r="129" spans="1:2">
      <c r="A129" s="20"/>
      <c r="B129" s="11"/>
    </row>
    <row r="130" spans="1:2">
      <c r="A130" s="21"/>
      <c r="B130" s="11"/>
    </row>
    <row r="131" spans="1:2">
      <c r="A131" s="20"/>
      <c r="B131" s="11"/>
    </row>
    <row r="132" spans="1:2">
      <c r="A132" s="20"/>
      <c r="B132" s="11"/>
    </row>
    <row r="133" spans="1:2">
      <c r="A133" s="20"/>
      <c r="B133" s="11"/>
    </row>
    <row r="134" spans="1:2">
      <c r="A134" s="20"/>
      <c r="B134" s="11"/>
    </row>
    <row r="135" spans="1:2">
      <c r="A135" s="20"/>
      <c r="B135" s="11"/>
    </row>
    <row r="136" spans="1:2">
      <c r="A136" s="20"/>
      <c r="B136" s="11"/>
    </row>
    <row r="137" spans="1:2">
      <c r="A137" s="20"/>
      <c r="B137" s="11"/>
    </row>
    <row r="138" spans="1:2">
      <c r="A138" s="20"/>
      <c r="B138" s="11"/>
    </row>
    <row r="139" spans="1:2">
      <c r="A139" s="20"/>
      <c r="B139" s="11"/>
    </row>
    <row r="140" spans="1:2">
      <c r="A140" s="22"/>
      <c r="B140" s="18"/>
    </row>
    <row r="141" spans="1:2">
      <c r="A141" s="23"/>
      <c r="B141" s="23"/>
    </row>
    <row r="142" spans="1:2">
      <c r="A142" s="24"/>
      <c r="B142" s="23"/>
    </row>
    <row r="143" spans="1:2">
      <c r="A143" s="24"/>
      <c r="B143" s="23"/>
    </row>
  </sheetData>
  <mergeCells count="61">
    <mergeCell ref="A121:C121"/>
    <mergeCell ref="A122:C122"/>
    <mergeCell ref="A123:C123"/>
    <mergeCell ref="A124:C124"/>
    <mergeCell ref="A125:C125"/>
    <mergeCell ref="A76:C76"/>
    <mergeCell ref="D44:P44"/>
    <mergeCell ref="B118:C118"/>
    <mergeCell ref="A120:C120"/>
    <mergeCell ref="D35:O35"/>
    <mergeCell ref="D36:O36"/>
    <mergeCell ref="D37:O37"/>
    <mergeCell ref="D38:O38"/>
    <mergeCell ref="D69:P69"/>
    <mergeCell ref="D43:P43"/>
    <mergeCell ref="B116:C116"/>
    <mergeCell ref="B117:C117"/>
    <mergeCell ref="A86:C86"/>
    <mergeCell ref="D45:P45"/>
    <mergeCell ref="D46:P46"/>
    <mergeCell ref="D31:O31"/>
    <mergeCell ref="D32:O32"/>
    <mergeCell ref="D33:O33"/>
    <mergeCell ref="D34:O34"/>
    <mergeCell ref="D24:O24"/>
    <mergeCell ref="D25:O25"/>
    <mergeCell ref="D26:O26"/>
    <mergeCell ref="D27:O27"/>
    <mergeCell ref="D30:O30"/>
    <mergeCell ref="A5:C6"/>
    <mergeCell ref="A104:C104"/>
    <mergeCell ref="A41:C41"/>
    <mergeCell ref="A67:C67"/>
    <mergeCell ref="A88:B89"/>
    <mergeCell ref="C88:C89"/>
    <mergeCell ref="B97:C97"/>
    <mergeCell ref="A13:C14"/>
    <mergeCell ref="B7:C7"/>
    <mergeCell ref="B8:C8"/>
    <mergeCell ref="B9:C9"/>
    <mergeCell ref="B10:C10"/>
    <mergeCell ref="B11:C11"/>
    <mergeCell ref="A56:C56"/>
    <mergeCell ref="A66:C66"/>
    <mergeCell ref="A81:C81"/>
    <mergeCell ref="A1:C4"/>
    <mergeCell ref="A16:C16"/>
    <mergeCell ref="A23:C23"/>
    <mergeCell ref="A114:B114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91:B92"/>
    <mergeCell ref="C91:C92"/>
    <mergeCell ref="A95:B95"/>
    <mergeCell ref="A96:C96"/>
  </mergeCells>
  <conditionalFormatting sqref="C42">
    <cfRule type="cellIs" dxfId="0" priority="1" operator="lessThan">
      <formula>0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87" fitToWidth="0" fitToHeight="2" orientation="portrait" r:id="rId1"/>
  <headerFooter alignWithMargins="0">
    <oddHeader>&amp;RFls. ______ 
Visto:______</oddHeader>
  </headerFooter>
  <rowBreaks count="1" manualBreakCount="1">
    <brk id="55" max="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"/>
    </sheetView>
  </sheetViews>
  <sheetFormatPr defaultRowHeight="12.75"/>
  <cols>
    <col min="1" max="1" width="31" customWidth="1"/>
    <col min="3" max="3" width="14.140625" bestFit="1" customWidth="1"/>
    <col min="4" max="4" width="12.140625" bestFit="1" customWidth="1"/>
    <col min="5" max="5" width="18" bestFit="1" customWidth="1"/>
  </cols>
  <sheetData>
    <row r="1" spans="1:5" ht="15.75">
      <c r="A1" s="137" t="s">
        <v>157</v>
      </c>
      <c r="B1" s="137"/>
      <c r="C1" s="137"/>
      <c r="D1" s="137"/>
      <c r="E1" s="137"/>
    </row>
    <row r="3" spans="1:5">
      <c r="A3" s="86" t="s">
        <v>120</v>
      </c>
      <c r="B3" s="86" t="s">
        <v>121</v>
      </c>
      <c r="C3" s="86" t="s">
        <v>122</v>
      </c>
      <c r="D3" s="86" t="s">
        <v>123</v>
      </c>
      <c r="E3" s="86" t="s">
        <v>124</v>
      </c>
    </row>
    <row r="4" spans="1:5">
      <c r="A4" s="87" t="s">
        <v>125</v>
      </c>
      <c r="B4" s="87">
        <v>4</v>
      </c>
      <c r="C4" s="88">
        <v>179.9</v>
      </c>
      <c r="D4" s="89">
        <f>B4*C4</f>
        <v>719.6</v>
      </c>
      <c r="E4" s="90" t="s">
        <v>133</v>
      </c>
    </row>
    <row r="5" spans="1:5">
      <c r="A5" s="87" t="s">
        <v>128</v>
      </c>
      <c r="B5" s="87">
        <v>4</v>
      </c>
      <c r="C5" s="88">
        <v>60</v>
      </c>
      <c r="D5" s="89">
        <f t="shared" ref="D5:D10" si="0">B5*C5</f>
        <v>240</v>
      </c>
      <c r="E5" s="90" t="s">
        <v>133</v>
      </c>
    </row>
    <row r="6" spans="1:5">
      <c r="A6" s="87" t="s">
        <v>129</v>
      </c>
      <c r="B6" s="87">
        <v>4</v>
      </c>
      <c r="C6" s="88">
        <v>50</v>
      </c>
      <c r="D6" s="89">
        <f t="shared" si="0"/>
        <v>200</v>
      </c>
      <c r="E6" s="90" t="s">
        <v>133</v>
      </c>
    </row>
    <row r="7" spans="1:5">
      <c r="A7" s="87" t="s">
        <v>130</v>
      </c>
      <c r="B7" s="87">
        <v>2</v>
      </c>
      <c r="C7" s="88">
        <v>169.9</v>
      </c>
      <c r="D7" s="89">
        <f t="shared" si="0"/>
        <v>339.8</v>
      </c>
      <c r="E7" s="90" t="s">
        <v>133</v>
      </c>
    </row>
    <row r="8" spans="1:5">
      <c r="A8" s="87" t="s">
        <v>131</v>
      </c>
      <c r="B8" s="87">
        <v>2</v>
      </c>
      <c r="C8" s="88">
        <v>150</v>
      </c>
      <c r="D8" s="89">
        <f t="shared" si="0"/>
        <v>300</v>
      </c>
      <c r="E8" s="90" t="s">
        <v>133</v>
      </c>
    </row>
    <row r="9" spans="1:5">
      <c r="A9" s="87" t="s">
        <v>132</v>
      </c>
      <c r="B9" s="87">
        <v>4</v>
      </c>
      <c r="C9" s="88">
        <v>33.090000000000003</v>
      </c>
      <c r="D9" s="89">
        <f t="shared" si="0"/>
        <v>132.36000000000001</v>
      </c>
      <c r="E9" s="90" t="s">
        <v>134</v>
      </c>
    </row>
    <row r="10" spans="1:5">
      <c r="A10" s="87" t="s">
        <v>150</v>
      </c>
      <c r="B10" s="87">
        <v>1</v>
      </c>
      <c r="C10" s="88">
        <v>240</v>
      </c>
      <c r="D10" s="89">
        <f t="shared" si="0"/>
        <v>240</v>
      </c>
      <c r="E10" s="94" t="s">
        <v>151</v>
      </c>
    </row>
    <row r="11" spans="1:5">
      <c r="A11" s="138" t="s">
        <v>126</v>
      </c>
      <c r="B11" s="138"/>
      <c r="C11" s="138"/>
      <c r="D11" s="91">
        <f>SUM(D4:D10)</f>
        <v>2171.7600000000002</v>
      </c>
    </row>
    <row r="13" spans="1:5">
      <c r="A13" s="139" t="s">
        <v>127</v>
      </c>
      <c r="B13" s="139"/>
      <c r="C13" s="139"/>
      <c r="D13" s="92">
        <f>D11/12</f>
        <v>180.98</v>
      </c>
    </row>
  </sheetData>
  <mergeCells count="3">
    <mergeCell ref="A1:E1"/>
    <mergeCell ref="A11:C11"/>
    <mergeCell ref="A13:C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VIGILANTE</vt:lpstr>
      <vt:lpstr>UNIFORMES E EQUIP.</vt:lpstr>
      <vt:lpstr>VIGILANTE!Area_de_impressao</vt:lpstr>
    </vt:vector>
  </TitlesOfParts>
  <Company>Tribunal de Justiça do Paraná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rjb</dc:creator>
  <cp:lastModifiedBy>compras1</cp:lastModifiedBy>
  <cp:lastPrinted>2023-04-19T11:20:22Z</cp:lastPrinted>
  <dcterms:created xsi:type="dcterms:W3CDTF">2011-05-27T16:59:43Z</dcterms:created>
  <dcterms:modified xsi:type="dcterms:W3CDTF">2023-04-19T11:20:23Z</dcterms:modified>
</cp:coreProperties>
</file>