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partamento de Licitações - LICITACAO\LICITAÇÃO\20. LICITAÇÕES 2024\2. PREGÃO\19. Pregão Eletrônico nº 19-2024 - Coleta de Lixo e Varrição de Ruas ITEM AMPLA\"/>
    </mc:Choice>
  </mc:AlternateContent>
  <xr:revisionPtr revIDLastSave="0" documentId="13_ncr:1_{EAE464D3-38F5-453D-A2F8-BC73E4DD3702}" xr6:coauthVersionLast="47" xr6:coauthVersionMax="47" xr10:uidLastSave="{00000000-0000-0000-0000-000000000000}"/>
  <bookViews>
    <workbookView xWindow="-120" yWindow="-120" windowWidth="29040" windowHeight="15840" tabRatio="904" activeTab="2" xr2:uid="{00000000-000D-0000-FFFF-FFFF00000000}"/>
  </bookViews>
  <sheets>
    <sheet name="ITEM 01 - VARRIÇÃO" sheetId="4" r:id="rId1"/>
    <sheet name="ITEM 01 - VARRIÇÃO EMBASAMENTO" sheetId="13" r:id="rId2"/>
    <sheet name="ITEM 01 - VEÍCULO" sheetId="11" r:id="rId3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1" l="1"/>
  <c r="E13" i="11" s="1"/>
  <c r="D13" i="11"/>
  <c r="D12" i="11"/>
  <c r="D16" i="11" l="1"/>
  <c r="C14" i="11"/>
  <c r="D14" i="11" s="1"/>
  <c r="E14" i="11" s="1"/>
  <c r="C72" i="4" l="1"/>
  <c r="F72" i="4" s="1"/>
  <c r="C71" i="4"/>
  <c r="E71" i="4" s="1"/>
  <c r="C70" i="4"/>
  <c r="F70" i="4" s="1"/>
  <c r="C69" i="4"/>
  <c r="E69" i="4" s="1"/>
  <c r="E72" i="4" l="1"/>
  <c r="E70" i="4"/>
  <c r="F71" i="4"/>
  <c r="F69" i="4"/>
  <c r="B6" i="4"/>
  <c r="B31" i="4" s="1"/>
  <c r="B80" i="4"/>
  <c r="B79" i="4"/>
  <c r="B78" i="4"/>
  <c r="B77" i="4"/>
  <c r="B76" i="4"/>
  <c r="C68" i="4"/>
  <c r="C67" i="4"/>
  <c r="C63" i="4"/>
  <c r="C64" i="4"/>
  <c r="C65" i="4"/>
  <c r="C66" i="4"/>
  <c r="C62" i="4"/>
  <c r="C37" i="4"/>
  <c r="C33" i="4"/>
  <c r="C34" i="4"/>
  <c r="C35" i="4"/>
  <c r="C36" i="4"/>
  <c r="C6" i="4"/>
  <c r="B32" i="4"/>
  <c r="C32" i="4" s="1"/>
  <c r="E6" i="4" l="1"/>
  <c r="F6" i="4" s="1"/>
  <c r="G6" i="4" s="1"/>
  <c r="C31" i="4"/>
  <c r="B5" i="4"/>
  <c r="E80" i="4"/>
  <c r="B27" i="4" l="1"/>
  <c r="B28" i="4" s="1"/>
  <c r="C27" i="4"/>
  <c r="C28" i="4" s="1"/>
  <c r="D28" i="4" s="1"/>
  <c r="E5" i="4"/>
  <c r="D27" i="4" l="1"/>
  <c r="F80" i="4"/>
  <c r="E79" i="4"/>
  <c r="F5" i="4"/>
  <c r="E12" i="11"/>
  <c r="C5" i="11"/>
  <c r="D5" i="11" s="1"/>
  <c r="B38" i="4"/>
  <c r="B86" i="4"/>
  <c r="A86" i="4"/>
  <c r="B16" i="11"/>
  <c r="D11" i="11"/>
  <c r="E11" i="11" s="1"/>
  <c r="B10" i="11"/>
  <c r="D10" i="11" s="1"/>
  <c r="E10" i="11" s="1"/>
  <c r="D9" i="11"/>
  <c r="E9" i="11" s="1"/>
  <c r="E68" i="4"/>
  <c r="E62" i="4"/>
  <c r="D18" i="11" l="1"/>
  <c r="E18" i="11" s="1"/>
  <c r="D17" i="11"/>
  <c r="E17" i="11" s="1"/>
  <c r="D20" i="11"/>
  <c r="E20" i="11" s="1"/>
  <c r="D19" i="11"/>
  <c r="E19" i="11" s="1"/>
  <c r="E16" i="11"/>
  <c r="G5" i="4"/>
  <c r="F7" i="4"/>
  <c r="G7" i="4" s="1"/>
  <c r="F68" i="4"/>
  <c r="E21" i="11" l="1"/>
  <c r="E22" i="11" s="1"/>
  <c r="D86" i="4" s="1"/>
  <c r="E78" i="4" l="1"/>
  <c r="F79" i="4"/>
  <c r="E77" i="4"/>
  <c r="F77" i="4" s="1"/>
  <c r="B104" i="4"/>
  <c r="C86" i="4"/>
  <c r="F67" i="4"/>
  <c r="E67" i="4"/>
  <c r="F66" i="4"/>
  <c r="E66" i="4"/>
  <c r="F65" i="4"/>
  <c r="E65" i="4"/>
  <c r="F64" i="4"/>
  <c r="E64" i="4"/>
  <c r="F63" i="4"/>
  <c r="E63" i="4"/>
  <c r="F62" i="4"/>
  <c r="B57" i="4"/>
  <c r="B49" i="4"/>
  <c r="D37" i="4"/>
  <c r="D36" i="4"/>
  <c r="D35" i="4"/>
  <c r="D33" i="4"/>
  <c r="B24" i="4"/>
  <c r="B13" i="4"/>
  <c r="C73" i="4" l="1"/>
  <c r="E73" i="4" s="1"/>
  <c r="D34" i="4"/>
  <c r="D32" i="4"/>
  <c r="C38" i="4"/>
  <c r="D38" i="4" s="1"/>
  <c r="F78" i="4"/>
  <c r="F76" i="4"/>
  <c r="E76" i="4"/>
  <c r="C81" i="4" s="1"/>
  <c r="F86" i="4"/>
  <c r="E86" i="4"/>
  <c r="C87" i="4" s="1"/>
  <c r="C111" i="4" l="1"/>
  <c r="E87" i="4"/>
  <c r="E111" i="4" s="1"/>
  <c r="E81" i="4"/>
  <c r="C82" i="4"/>
  <c r="D31" i="4"/>
  <c r="C110" i="4" l="1"/>
  <c r="E82" i="4"/>
  <c r="E110" i="4" s="1"/>
  <c r="D17" i="4"/>
  <c r="D11" i="4"/>
  <c r="D10" i="4"/>
  <c r="D18" i="4"/>
  <c r="D56" i="4"/>
  <c r="D48" i="4"/>
  <c r="D23" i="4"/>
  <c r="D43" i="4"/>
  <c r="D12" i="4"/>
  <c r="D47" i="4"/>
  <c r="D19" i="4"/>
  <c r="D16" i="4"/>
  <c r="D53" i="4"/>
  <c r="D21" i="4"/>
  <c r="D46" i="4"/>
  <c r="D44" i="4"/>
  <c r="D52" i="4"/>
  <c r="D20" i="4"/>
  <c r="D55" i="4"/>
  <c r="D45" i="4"/>
  <c r="D54" i="4"/>
  <c r="D22" i="4"/>
  <c r="C22" i="4"/>
  <c r="C10" i="4"/>
  <c r="C17" i="4"/>
  <c r="C55" i="4"/>
  <c r="C54" i="4"/>
  <c r="C21" i="4"/>
  <c r="C19" i="4"/>
  <c r="C48" i="4"/>
  <c r="C18" i="4"/>
  <c r="C11" i="4"/>
  <c r="C20" i="4"/>
  <c r="C47" i="4"/>
  <c r="C53" i="4"/>
  <c r="C12" i="4"/>
  <c r="C56" i="4"/>
  <c r="C44" i="4"/>
  <c r="C45" i="4"/>
  <c r="C43" i="4"/>
  <c r="C16" i="4"/>
  <c r="C52" i="4"/>
  <c r="C46" i="4"/>
  <c r="C23" i="4"/>
  <c r="C13" i="4" l="1"/>
  <c r="D13" i="4" s="1"/>
  <c r="C24" i="4"/>
  <c r="D24" i="4" s="1"/>
  <c r="C49" i="4"/>
  <c r="D49" i="4" s="1"/>
  <c r="C57" i="4"/>
  <c r="D57" i="4" s="1"/>
  <c r="C39" i="4" l="1"/>
  <c r="C58" i="4"/>
  <c r="C109" i="4" l="1"/>
  <c r="D58" i="4"/>
  <c r="E109" i="4" s="1"/>
  <c r="C108" i="4"/>
  <c r="D39" i="4"/>
  <c r="E108" i="4" s="1"/>
  <c r="C91" i="4"/>
  <c r="E91" i="4" s="1"/>
  <c r="C93" i="4" l="1"/>
  <c r="E93" i="4" s="1"/>
  <c r="E94" i="4" s="1"/>
  <c r="C94" i="4" l="1"/>
  <c r="C96" i="4" s="1"/>
  <c r="E96" i="4" s="1"/>
  <c r="E98" i="4" s="1"/>
  <c r="C98" i="4" l="1"/>
  <c r="C102" i="4" s="1"/>
  <c r="E102" i="4" s="1"/>
  <c r="C103" i="4" l="1"/>
  <c r="E103" i="4" s="1"/>
  <c r="C101" i="4"/>
  <c r="E101" i="4" s="1"/>
  <c r="E104" i="4" l="1"/>
  <c r="C104" i="4"/>
  <c r="C105" i="4" s="1"/>
  <c r="C112" i="4" l="1"/>
  <c r="C113" i="4" s="1"/>
  <c r="E105" i="4"/>
  <c r="E112" i="4" s="1"/>
  <c r="E11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compras1</author>
  </authors>
  <commentList>
    <comment ref="C6" authorId="0" shapeId="0" xr:uid="{208FFB93-F1B8-42BB-BA8A-3C72143D341F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CLÁUSULA TERCEIRA - PISOS SALARIAIS: 
PARÁGRAFO QUINTO – Fica assegurado o pagamento do adicional de insalubridade em grau máximo (40%) ao
coletor, inclusive de resíduos vegetais, bem assim àqueles que trabalhem em limpeza de “fundo de vale e córregos”,
ao controlador de vetores e aos desinsetizadores e, em grau médio (20%) ao varredor, calculando-se sempre
referido adicional sobre o valor do salário-mínimo nacional, que servirá de base para o cálculo de toda e qualquer
insalubridade. O pagamento do adicional de insalubridade, na forma aqui estipulada, será devido a todos os
coletores e varredores da limpeza pública, independente da população do Município atendido e da
natureza/composição dos materiais coletados e varridos.</t>
        </r>
      </text>
    </comment>
    <comment ref="B18" authorId="0" shapeId="0" xr:uid="{72598CE3-E4E5-4781-A373-8E6B892E940B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onde RAT = 1, 2 ou 3% e FAP varia entre 0,5 e 2,0%</t>
        </r>
      </text>
    </comment>
    <comment ref="B27" authorId="0" shapeId="0" xr:uid="{96BC2617-85E4-428E-BEBE-DBC3FA2FF773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Zerar em caso de valor negativo</t>
        </r>
      </text>
    </comment>
    <comment ref="B31" authorId="0" shapeId="0" xr:uid="{E0ACA074-535E-46A0-ACAF-7986F507E79A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Zerar em caso de valor negativo</t>
        </r>
      </text>
    </comment>
    <comment ref="C61" authorId="0" shapeId="0" xr:uid="{5BE7A9DA-3E22-4CBB-9395-268D1E28DBF3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Observar o TR para definição de quantidade (Quantidade de funcionários x quantidade de EPI necessário)
</t>
        </r>
      </text>
    </comment>
    <comment ref="B75" authorId="0" shapeId="0" xr:uid="{D64A866B-4AD8-4358-B427-27EC4F163A52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Observar o TR para definição de quantidade</t>
        </r>
      </text>
    </comment>
    <comment ref="D75" authorId="0" shapeId="0" xr:uid="{EDCAFC2D-B750-4864-BA9C-5535ADE4C029}">
      <text>
        <r>
          <rPr>
            <b/>
            <sz val="9"/>
            <color indexed="81"/>
            <rFont val="Segoe UI"/>
            <family val="2"/>
          </rPr>
          <t>compras1:</t>
        </r>
        <r>
          <rPr>
            <sz val="9"/>
            <color indexed="81"/>
            <rFont val="Segoe UI"/>
            <family val="2"/>
          </rPr>
          <t xml:space="preserve">
IN 1700/17 – anexo III</t>
        </r>
      </text>
    </comment>
  </commentList>
</comments>
</file>

<file path=xl/sharedStrings.xml><?xml version="1.0" encoding="utf-8"?>
<sst xmlns="http://schemas.openxmlformats.org/spreadsheetml/2006/main" count="298" uniqueCount="198">
  <si>
    <t>Quantidade de Profissionais</t>
  </si>
  <si>
    <t>Valor Unitário</t>
  </si>
  <si>
    <t>Alíquota</t>
  </si>
  <si>
    <t>Valor Anual / Total</t>
  </si>
  <si>
    <t>Índice de Depreciação anual/total</t>
  </si>
  <si>
    <t>Quantidade Anual/Total</t>
  </si>
  <si>
    <t>Valor anual/total</t>
  </si>
  <si>
    <t>Valor Anual/Total</t>
  </si>
  <si>
    <t>Total do Módulo 1.1:  Mão de Obra (Sem Encargos Previdênciários e FGTS)</t>
  </si>
  <si>
    <t>TOTAL DO MÓDULO 1: CUSTOS DE MÃO DE OBRA (INCLUI ENCARGOS PREVIDENCIÁRIOS E FGTS)</t>
  </si>
  <si>
    <t>Valor Anual/Total da Depreciação Por Equipamento</t>
  </si>
  <si>
    <t>Valor Anual/Total da Depreciação de Equipamentos</t>
  </si>
  <si>
    <t>Módulo 1</t>
  </si>
  <si>
    <t>Módulo 2</t>
  </si>
  <si>
    <t>Módulo 3</t>
  </si>
  <si>
    <t>Módulo 4</t>
  </si>
  <si>
    <t>Local e Data</t>
  </si>
  <si>
    <t>Assinatura do Responsável</t>
  </si>
  <si>
    <t>-</t>
  </si>
  <si>
    <t>MÓDULO 1.1: MÃO DE OBRA SEM INCIDÊNCIA DE ENCARGOS PREVIDENCIÁRIOS E FGTS</t>
  </si>
  <si>
    <t>Valor Mensal</t>
  </si>
  <si>
    <t>Insalubridade</t>
  </si>
  <si>
    <t>Descrição</t>
  </si>
  <si>
    <t>Custo unit.</t>
  </si>
  <si>
    <t>Uso médio KM</t>
  </si>
  <si>
    <t>Custo/KM</t>
  </si>
  <si>
    <t>Custo mês R$</t>
  </si>
  <si>
    <t>Fonte de Pesquisa</t>
  </si>
  <si>
    <t>Óleo Diesel (L)</t>
  </si>
  <si>
    <t>(ANP)</t>
  </si>
  <si>
    <t>Arla 32 (L) consumo de 5% em relação ao Diesel</t>
  </si>
  <si>
    <t>Óleo lubrificante 5 litros</t>
  </si>
  <si>
    <t>KM Mensal</t>
  </si>
  <si>
    <t>Manutenção do Veículo ( Peças e manutenção)</t>
  </si>
  <si>
    <t>Depreciação de veículo</t>
  </si>
  <si>
    <t xml:space="preserve">IPVA </t>
  </si>
  <si>
    <t>Licenciamento</t>
  </si>
  <si>
    <t>Valor unitário:</t>
  </si>
  <si>
    <t>Valor total:</t>
  </si>
  <si>
    <t>Quantidade</t>
  </si>
  <si>
    <t>KM mensal</t>
  </si>
  <si>
    <t>Valor mensal</t>
  </si>
  <si>
    <t>ANEXO I - Notas Explicativas Geipot (12% do valor do veículo ao ano X quant. Veículos / 12 meses)</t>
  </si>
  <si>
    <t>Total Mensal</t>
  </si>
  <si>
    <t>Valor MensaL</t>
  </si>
  <si>
    <t>MÓDULO 1.2: 13°, FÉRIAS E ADICIONAL DE FÉRIAS</t>
  </si>
  <si>
    <t>Total Módulo 1.2: 13°, Férias e adicional de férias</t>
  </si>
  <si>
    <t>MÓDULO 1.3: GPS, FGTS E OUTRAS CONTRIBUIÇÕES</t>
  </si>
  <si>
    <t>Total Módulo 1.3:  GPS, FGTS e outras contribuições</t>
  </si>
  <si>
    <t>B - Auxílio-Refeição/Alimentação</t>
  </si>
  <si>
    <t>C - Assistência médica e Familiar</t>
  </si>
  <si>
    <t>D - Benefício Social Familiar (BSF)</t>
  </si>
  <si>
    <t>A - 13° Salário, Férias, Adicional de férias</t>
  </si>
  <si>
    <t>B - Férias</t>
  </si>
  <si>
    <t>C - Adicional de férias</t>
  </si>
  <si>
    <t>A - INSS</t>
  </si>
  <si>
    <t>Referência Unitário</t>
  </si>
  <si>
    <t>C - Desjejum/Café da Manhã</t>
  </si>
  <si>
    <t>MÓDULO 1 - COMPOSIÇÃO DA REMUNERAÇÃO</t>
  </si>
  <si>
    <t>A - Aviso prévio indenizado</t>
  </si>
  <si>
    <t>B - Incidência do FGTS sobre o aviso prévio indenizado</t>
  </si>
  <si>
    <t>C - Multa do FGTS do aviso prévio indenizado</t>
  </si>
  <si>
    <t>D - Aviso prévio trabalhado</t>
  </si>
  <si>
    <t>E - Incidência do submódulo 2.2 sobre aviso prévio trabalhado</t>
  </si>
  <si>
    <t>F - Multa do FGTS sobre o aviso prévio trabalhado</t>
  </si>
  <si>
    <t xml:space="preserve">MÓDULO 3.1: MATERIAIS </t>
  </si>
  <si>
    <t>MÓDULO 2.1: PROVISÃO PARA RESCISÃO</t>
  </si>
  <si>
    <t>MÓDULO 2: PROVISÃO PARA RESCISÃO E CUSTO DE REPOSIÇÃO DO PROFISSIONAL AUSENTE</t>
  </si>
  <si>
    <t>MÓDULO 2.2: REPOSIÇÃO DO PROFISSIONAL AUSENTE</t>
  </si>
  <si>
    <t>A - Substituto na cobertura de Férias</t>
  </si>
  <si>
    <t>B - Substituto na cobertura de Licença-Paternidade</t>
  </si>
  <si>
    <t xml:space="preserve">C -Substituto na cobertura de Ausência por acidente de trabalho </t>
  </si>
  <si>
    <t>D - Substituto na cobertura de Afastamento Maternidade</t>
  </si>
  <si>
    <t>E - Substituto na cobertura de Ausências Legais</t>
  </si>
  <si>
    <t>Total Módulo 2.1: Provisão Para Rescisão</t>
  </si>
  <si>
    <t>Total Módulo 2.2: Provisão Para Rescisão</t>
  </si>
  <si>
    <t>TOTAL DO MÓDULO 2: PROVISÃO PARA RESCISÃO E CUSTO DE REPOSIÇÃO DO PROFISSIONAL AUSENTE</t>
  </si>
  <si>
    <t>MÓDULO 3: CUSTOS COM INSUMOS E EQUIPAMENTOS</t>
  </si>
  <si>
    <t>Total do Módulo 3.1: Materiais</t>
  </si>
  <si>
    <t>MÓDULO 3.2: DEPRECIAÇÃO DE EQUIPAMENTOS</t>
  </si>
  <si>
    <t>Total do Módulo 3.2: Depreciação de  Equipamentos</t>
  </si>
  <si>
    <t>TOTAL DO MÓDULO 3: CUSTOS COM INSUMOS E EQUIPAMENTOS</t>
  </si>
  <si>
    <t>MÓDULO 4: CUSTOS COM DESLOCAMENTOS</t>
  </si>
  <si>
    <t>TOTAL DO MÓDULO 4: CUSTOS COM DESLOCAMENTO</t>
  </si>
  <si>
    <t>MÓDULO 5: CUSTOS INDIRETOS, TRIBUTOS E LUCROS</t>
  </si>
  <si>
    <t>TOTAL MÓDULO 5: CUSTOS INDIRETOS, TRIBUTAÇÃO E LUCROS</t>
  </si>
  <si>
    <t>Módulo 5</t>
  </si>
  <si>
    <t xml:space="preserve">Valor Anual/Total </t>
  </si>
  <si>
    <t>%</t>
  </si>
  <si>
    <t>B - Lucro</t>
  </si>
  <si>
    <t>C - Tributos</t>
  </si>
  <si>
    <t>BASE DE CÁLCULO DOS TRIBUTOS</t>
  </si>
  <si>
    <t xml:space="preserve">CÁLCULO DOS TRIBUTOS = Base de Cálculo dos Tributos / (1-(Total de Tributos em % dividido por 100)] x Alíquota do tributo </t>
  </si>
  <si>
    <t xml:space="preserve">   C1. Tributos Federais</t>
  </si>
  <si>
    <t xml:space="preserve">        COFINS</t>
  </si>
  <si>
    <t xml:space="preserve">        PIS</t>
  </si>
  <si>
    <t xml:space="preserve">   SUBTOTAL Tributos</t>
  </si>
  <si>
    <r>
      <t>A - Custos indiretos</t>
    </r>
    <r>
      <rPr>
        <sz val="9"/>
        <rFont val="Calibri"/>
        <family val="2"/>
        <scheme val="minor"/>
      </rPr>
      <t xml:space="preserve"> </t>
    </r>
  </si>
  <si>
    <r>
      <t xml:space="preserve">   C2. Tributos Municipais  - </t>
    </r>
    <r>
      <rPr>
        <b/>
        <sz val="9"/>
        <rFont val="Calibri"/>
        <family val="2"/>
        <scheme val="minor"/>
      </rPr>
      <t>ISS</t>
    </r>
  </si>
  <si>
    <t>BASE DE CÁLCULO DOS CUSTOS INDIRETOS/DESPESAS OPERACIONAIS/ADMINISTRATIVAS  (Módulo 1 + Módulo 2+ Módulo 3 + Módulo 4)</t>
  </si>
  <si>
    <t xml:space="preserve">BASE DE CÁLCULO DO LUCRO = (Módulo 1 + Módulo 2+ Módulo 3 + Módulo 4 + Custos Indiretos) </t>
  </si>
  <si>
    <t>VALOR TOTAL DOS MÓDULOS</t>
  </si>
  <si>
    <t>Fundamentação: art. 7º, inciso VIII, da C.F., Lei nº 4.090/62 e Lei nº 7.787/89. (1 salário / 12 meses)</t>
  </si>
  <si>
    <t>(1/3) do salário / 12 (meses) * 100 = 2,78%</t>
  </si>
  <si>
    <t>B - Salário Educação</t>
  </si>
  <si>
    <t>C - RAT = RAT X FAP</t>
  </si>
  <si>
    <t>D - SESC ou SESI</t>
  </si>
  <si>
    <t>E - SENAI - SENAC</t>
  </si>
  <si>
    <t>F -  SEBRAE</t>
  </si>
  <si>
    <t>G - INCRA</t>
  </si>
  <si>
    <t>H - FGTS</t>
  </si>
  <si>
    <t>Fundamentação: art. 22, inciso I da Lei nº 8.212/91.</t>
  </si>
  <si>
    <t>Decreto n.º 6.003, de 20 de dezembro de 2006, regulamenta a contribuição social do salário educação.</t>
  </si>
  <si>
    <t>A alíquota do SAT refere-se ao risco da atividade preponderante da empresa, individualizado de acordo com o seu Fator Acidentário de Prevenção (FAP), conforme Decreto Federal nº 6.957/2009.</t>
  </si>
  <si>
    <t>Fundamentação: art. 30 da Lei nº 8.036/90.</t>
  </si>
  <si>
    <t>Fundamentação: Decreto-Lei nº 6.246/44 e 8.621/46</t>
  </si>
  <si>
    <t>Fundamentação: Lei nº 8.029/90, alterada pela Lei nº 8.154/90.</t>
  </si>
  <si>
    <t>Fundamentação: art. 1º, inciso I, do Decreto-Lei nº 1.146/70.</t>
  </si>
  <si>
    <t>Fundamentação: art. 15 da Lei nº 8.036/90 e art. 7º, inciso III, da Constituição Federal de 1988.</t>
  </si>
  <si>
    <t>Devido à imprevisibilidade, esse é um montante que a empresa deverá provisionar.</t>
  </si>
  <si>
    <t>8% (alíquota do FGTS) sobre o valor do API. (8% x 0,42% = 0,033%)</t>
  </si>
  <si>
    <t>50% do valor da incidência do FGTS sobre o API. (50% x 0,033% = 0,016%)</t>
  </si>
  <si>
    <t>art. 488 da CLT. ((7/30)/12)x 100 = 1,94%</t>
  </si>
  <si>
    <t>Alíquota total do submódulo 2.2 sobre o valor do APT.</t>
  </si>
  <si>
    <t>50% do valor da incidência do FGTS sobre o APT. (50% x 8% x 1,94% = 0,077%)</t>
  </si>
  <si>
    <t>C. F. art. 7º, inciso VIII, Lei nº 4.090/62 e Lei nº 7.787/89</t>
  </si>
  <si>
    <t>Lei Federal 11.770/2008, atualizada pela Lei 13.257/2016</t>
  </si>
  <si>
    <t>Artigo 27 do Decreto nº 89.312</t>
  </si>
  <si>
    <t>Fundamentação: arts. 473 e 83 da CLT.</t>
  </si>
  <si>
    <t>Estimativa com base no TR e nos preços de mercado.</t>
  </si>
  <si>
    <t>IN 05/2017 – Anexo I</t>
  </si>
  <si>
    <t>art. 3º - CTN – Lei nº 5.172/66</t>
  </si>
  <si>
    <t>Art. 2º da Lei 10.833/03</t>
  </si>
  <si>
    <t>Lei nº 10.637/02.</t>
  </si>
  <si>
    <t>Segundo o CTN, até 5% de acordo com o serviço</t>
  </si>
  <si>
    <t>IN 05/2017 - O manual de orientação do MPOG estabelece como valores
limites para os serviços de vigilância e limpeza os
percentuais de 6% e 3%, respectivamente.</t>
  </si>
  <si>
    <t>F - Auxílio Alimentação nas Férias</t>
  </si>
  <si>
    <t xml:space="preserve">MÓDULO 4: CAMINHÃO COLETOR </t>
  </si>
  <si>
    <t>KM Anual</t>
  </si>
  <si>
    <t>R$ por KM Rodado</t>
  </si>
  <si>
    <t>Total Módulo 1.4:  Benefícios mensais e diários</t>
  </si>
  <si>
    <t>Pá coletora</t>
  </si>
  <si>
    <t>Vassoura com cerda rígida para varrição</t>
  </si>
  <si>
    <t>Saco de ráfia convencional (kit com 100 unidades)</t>
  </si>
  <si>
    <t>Qtd anual por funcionário</t>
  </si>
  <si>
    <t>Cotação Marketplace</t>
  </si>
  <si>
    <t>ANEXO I - Notas Explicativas Geipot (15% do valor do veículo ao ano X quant. Veículos / 12 meses)</t>
  </si>
  <si>
    <t>Veículo coletor (Resíduos Varrição)</t>
  </si>
  <si>
    <t>Total Módulo 1.5:  Benefícios mensais e diários</t>
  </si>
  <si>
    <t>Salário proporcional + insalubridade</t>
  </si>
  <si>
    <t>A - Jaquetas com faixa refletiva</t>
  </si>
  <si>
    <t>D - Calça brim com faixa refletiva</t>
  </si>
  <si>
    <t>E - Calçado de segurança</t>
  </si>
  <si>
    <t>Enxada com cabo</t>
  </si>
  <si>
    <t>Salário proporcional</t>
  </si>
  <si>
    <t>MÃO DE OBRA NECESSÁRIA: VARREDOR (44 HORAS SEMANAIS) R$ 1.700,00 E MOTORISTA (44 HORAS SEMAIS) R$ 2.113,26</t>
  </si>
  <si>
    <t>CLÁUSULA TERCEIRA DA CCT PR000232/2024, item 08.</t>
  </si>
  <si>
    <t>CLÁUSULA TERCEIRA DA CCT PR002907/2023, letra "e)".</t>
  </si>
  <si>
    <t>1 Salário / 12 meses *100 = 8,33%</t>
  </si>
  <si>
    <t>CLÁUSULA DÉCIMA QUARTA DA CCT PR000232/2024.</t>
  </si>
  <si>
    <t>CLÁUSULA DÉCIMA TERCEIRA DA CCT PR000232/2024, (R$ 700,00 - 20%).</t>
  </si>
  <si>
    <t>CLÁUSULA DÉCIMA TERCEIRA DA CCT PR000232/2024.</t>
  </si>
  <si>
    <t>CLÁUSULA DÉCIMA SEXTA DA CCT PR000232/2024.</t>
  </si>
  <si>
    <t>CLÁUSULA DÉCIMA SÉTIMA DA CCT PR000232/2024.</t>
  </si>
  <si>
    <t>E - Fundo de Formação Profissional</t>
  </si>
  <si>
    <t>CLÁUSULA VIGÉSIMA TERCEIRA DA CCT PR000232/2024.</t>
  </si>
  <si>
    <t>Lei nº 7.418/1985: obrigação de pagar deslocamentos do trabalhador no percurso residência-trabalho-residência. O empregador participará dos gastos de deslocamento do trabalhador com a ajuda de custo equivalente à parcela que exceder a 6% (seis por cento) de seu salário básico.</t>
  </si>
  <si>
    <t>A quilometragem mensal utilizada, é adistância aproximada necessária para a coleta dos sacos com a distância a ser percorrida para a destinação.</t>
  </si>
  <si>
    <t>B - VARREDOR (40 HORAS SEMANAIS)</t>
  </si>
  <si>
    <t>MÓDULO 1.4: BENEFÍCIOS MENSAIS E DIÁRIOS (Motorista)</t>
  </si>
  <si>
    <t>MÓDULO 1.5: BENEFÍCIOS MENSAIS E DIÁRIOS (Varredor)</t>
  </si>
  <si>
    <t>B - Camisa manga curta com faixa refletiva</t>
  </si>
  <si>
    <t>C - Camisa manga longa com faixa refletiva</t>
  </si>
  <si>
    <t>F - Protetor solar 120ml</t>
  </si>
  <si>
    <t>G - Protetor auricular tipo plug</t>
  </si>
  <si>
    <r>
      <t xml:space="preserve">H - Boné modelo árabe </t>
    </r>
    <r>
      <rPr>
        <b/>
        <sz val="9"/>
        <color theme="1"/>
        <rFont val="Calibri"/>
        <family val="2"/>
        <scheme val="minor"/>
      </rPr>
      <t>(só varredor)</t>
    </r>
  </si>
  <si>
    <r>
      <t xml:space="preserve">I - Luva de proteção </t>
    </r>
    <r>
      <rPr>
        <b/>
        <sz val="9"/>
        <color theme="1"/>
        <rFont val="Calibri"/>
        <family val="2"/>
        <scheme val="minor"/>
      </rPr>
      <t>(só varredor)</t>
    </r>
  </si>
  <si>
    <r>
      <t xml:space="preserve">J - Capa de chuva </t>
    </r>
    <r>
      <rPr>
        <b/>
        <sz val="9"/>
        <color theme="1"/>
        <rFont val="Calibri"/>
        <family val="2"/>
        <scheme val="minor"/>
      </rPr>
      <t>(só varredor)</t>
    </r>
  </si>
  <si>
    <r>
      <t xml:space="preserve">K - Óculos de proteção de radiação solar </t>
    </r>
    <r>
      <rPr>
        <b/>
        <sz val="9"/>
        <color theme="1"/>
        <rFont val="Calibri"/>
        <family val="2"/>
        <scheme val="minor"/>
      </rPr>
      <t>(só varredor)</t>
    </r>
  </si>
  <si>
    <t>Carrinho lutocar ou similar 100 litros</t>
  </si>
  <si>
    <t>Valor por KM</t>
  </si>
  <si>
    <t>CUSTO POR KM PARA COLETA E DESTINAÇÃO DOS SACOS COM RESÍDUOS DA VARRIÇÃO</t>
  </si>
  <si>
    <t>ITEM 01 VARRIÇÃO - FUNDAMENTAÇÃO</t>
  </si>
  <si>
    <t>Recapagens (02 por pneu)</t>
  </si>
  <si>
    <t>Limpeza e higienização</t>
  </si>
  <si>
    <t>Pneus (04 unidades por caminhão)</t>
  </si>
  <si>
    <t>Cotação Marketplace -  225/75 R 16 (4 X 508,05) - GEIPOT entre 85 E 125 mil KM</t>
  </si>
  <si>
    <t>ANEXO I - Notas Explicativas Geipot (duas recapagens até 80.000 km por pneu) Pregão Eletrônico Nº 42/2023</t>
  </si>
  <si>
    <t>Pregão Eletrônico Nº 62/2023 - Município de Coronel Vivida</t>
  </si>
  <si>
    <t>ANEXO I - Notas Explicativas Geipot (0,0033 do valor do veículo ao mês X quant. Veículos)</t>
  </si>
  <si>
    <t>1 % do valor do veículo ao ano x quant. de veículos / 12 meses)</t>
  </si>
  <si>
    <t>DETRAN PR 2024 (R$ 90,94 por veículo / 12 meses)</t>
  </si>
  <si>
    <t>Remuneração de capital</t>
  </si>
  <si>
    <t>A - Transporte (24 dias trabalhados x 3,80 valor da passagem x 2) - (6% do salário)</t>
  </si>
  <si>
    <t>CLÁUSULA TERCEIRA - PISOS SALARIAIS: PARÁGRAFO QUINTO</t>
  </si>
  <si>
    <t>INSALUBRIDADE VARREDOR</t>
  </si>
  <si>
    <t>MUNICÍPIO DE CORONEL VIVIDA
MODELO DE PLANILHA DE FORMAÇÃO DE CUSTOS - ITEM 01 VARRIÇÃO</t>
  </si>
  <si>
    <t xml:space="preserve">A - MOTORISTA (15 HORAS SEMANAIS)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</si>
</sst>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R$&quot;\ * #,##0.00_-;\-&quot;R$&quot;\ * #,##0.00_-;_-&quot;R$&quot;\ * &quot;-&quot;??_-;_-@_-"/>
    <numFmt numFmtId="165" formatCode="&quot;R$&quot;\ #,##0.00"/>
    <numFmt numFmtId="166" formatCode="0.000%"/>
    <numFmt numFmtId="167" formatCode="_(&quot;R$ &quot;* #,##0.00_);_(&quot;R$ &quot;* \(#,##0.00\);_(&quot;R$ &quot;* &quot;-&quot;??_);_(@_)"/>
    <numFmt numFmtId="168" formatCode="_-&quot;R$&quot;\ * #,##0.0000_-;\-&quot;R$&quot;\ * #,##0.0000_-;_-&quot;R$&quot;\ * &quot;-&quot;??_-;_-@_-"/>
    <numFmt numFmtId="169" formatCode="_-&quot;R$&quot;\ * #,##0.00_-;\-&quot;R$&quot;\ * #,##0.00_-;_-&quot;R$&quot;\ * &quot;-&quot;????_-;_-@_-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0" fontId="7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9" fillId="0" borderId="1" xfId="1" applyFont="1" applyBorder="1" applyAlignment="1">
      <alignment horizontal="center" vertical="top"/>
    </xf>
    <xf numFmtId="0" fontId="2" fillId="4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left" vertical="center" wrapText="1"/>
    </xf>
    <xf numFmtId="165" fontId="1" fillId="1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0" fontId="1" fillId="5" borderId="1" xfId="2" applyNumberFormat="1" applyFont="1" applyFill="1" applyBorder="1" applyAlignment="1">
      <alignment horizontal="center" vertical="center" wrapText="1"/>
    </xf>
    <xf numFmtId="166" fontId="1" fillId="5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justify" vertical="center" wrapText="1"/>
    </xf>
    <xf numFmtId="0" fontId="2" fillId="15" borderId="1" xfId="0" applyFont="1" applyFill="1" applyBorder="1" applyAlignment="1">
      <alignment horizontal="center" vertical="center" wrapText="1"/>
    </xf>
    <xf numFmtId="10" fontId="2" fillId="15" borderId="1" xfId="2" applyNumberFormat="1" applyFont="1" applyFill="1" applyBorder="1" applyAlignment="1">
      <alignment horizontal="center" vertical="center" wrapText="1"/>
    </xf>
    <xf numFmtId="165" fontId="2" fillId="1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164" fontId="1" fillId="13" borderId="1" xfId="1" applyFont="1" applyFill="1" applyBorder="1" applyAlignment="1">
      <alignment horizontal="center" vertical="center" wrapText="1"/>
    </xf>
    <xf numFmtId="164" fontId="2" fillId="13" borderId="1" xfId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justify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justify" vertical="center" wrapText="1"/>
    </xf>
    <xf numFmtId="0" fontId="13" fillId="11" borderId="1" xfId="0" applyFont="1" applyFill="1" applyBorder="1" applyAlignment="1">
      <alignment horizontal="justify" vertical="center" wrapText="1"/>
    </xf>
    <xf numFmtId="10" fontId="13" fillId="11" borderId="1" xfId="2" applyNumberFormat="1" applyFont="1" applyFill="1" applyBorder="1" applyAlignment="1">
      <alignment horizontal="center" vertical="center" wrapText="1"/>
    </xf>
    <xf numFmtId="10" fontId="9" fillId="5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5" fontId="3" fillId="5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5" borderId="1" xfId="1" applyNumberFormat="1" applyFont="1" applyFill="1" applyBorder="1" applyAlignment="1">
      <alignment horizontal="center" vertical="center" wrapText="1"/>
    </xf>
    <xf numFmtId="164" fontId="9" fillId="0" borderId="10" xfId="1" applyFont="1" applyBorder="1" applyAlignment="1">
      <alignment horizontal="center" vertical="top"/>
    </xf>
    <xf numFmtId="164" fontId="18" fillId="0" borderId="1" xfId="1" applyFont="1" applyBorder="1"/>
    <xf numFmtId="168" fontId="0" fillId="0" borderId="1" xfId="1" applyNumberFormat="1" applyFont="1" applyBorder="1"/>
    <xf numFmtId="0" fontId="1" fillId="4" borderId="10" xfId="0" applyFont="1" applyFill="1" applyBorder="1" applyAlignment="1">
      <alignment horizontal="left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top" shrinkToFit="1"/>
    </xf>
    <xf numFmtId="0" fontId="14" fillId="5" borderId="0" xfId="0" applyFont="1" applyFill="1" applyAlignment="1">
      <alignment horizontal="left" vertical="center"/>
    </xf>
    <xf numFmtId="1" fontId="9" fillId="3" borderId="0" xfId="0" applyNumberFormat="1" applyFont="1" applyFill="1" applyAlignment="1">
      <alignment horizontal="center" vertical="top" shrinkToFit="1"/>
    </xf>
    <xf numFmtId="165" fontId="1" fillId="13" borderId="1" xfId="1" applyNumberFormat="1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horizontal="center" vertical="center"/>
    </xf>
    <xf numFmtId="164" fontId="7" fillId="5" borderId="0" xfId="1" applyFont="1" applyFill="1" applyBorder="1" applyAlignment="1">
      <alignment horizontal="center" vertical="center"/>
    </xf>
    <xf numFmtId="165" fontId="3" fillId="14" borderId="8" xfId="0" applyNumberFormat="1" applyFont="1" applyFill="1" applyBorder="1" applyAlignment="1">
      <alignment horizontal="center" vertical="center" wrapText="1"/>
    </xf>
    <xf numFmtId="165" fontId="3" fillId="14" borderId="1" xfId="0" applyNumberFormat="1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2" fontId="0" fillId="0" borderId="0" xfId="0" applyNumberFormat="1"/>
    <xf numFmtId="164" fontId="0" fillId="0" borderId="1" xfId="1" applyFont="1" applyFill="1" applyBorder="1"/>
    <xf numFmtId="168" fontId="0" fillId="0" borderId="1" xfId="1" applyNumberFormat="1" applyFont="1" applyFill="1" applyBorder="1"/>
    <xf numFmtId="3" fontId="0" fillId="0" borderId="1" xfId="0" applyNumberFormat="1" applyBorder="1"/>
    <xf numFmtId="164" fontId="20" fillId="0" borderId="1" xfId="1" applyFont="1" applyFill="1" applyBorder="1"/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169" fontId="6" fillId="0" borderId="1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164" fontId="1" fillId="13" borderId="5" xfId="1" applyFont="1" applyFill="1" applyBorder="1" applyAlignment="1">
      <alignment horizontal="center" vertical="center" wrapText="1"/>
    </xf>
    <xf numFmtId="164" fontId="1" fillId="13" borderId="6" xfId="1" applyFont="1" applyFill="1" applyBorder="1" applyAlignment="1">
      <alignment horizontal="center" vertical="center" wrapText="1"/>
    </xf>
    <xf numFmtId="164" fontId="2" fillId="13" borderId="5" xfId="1" applyFont="1" applyFill="1" applyBorder="1" applyAlignment="1">
      <alignment horizontal="center" vertical="center" wrapText="1"/>
    </xf>
    <xf numFmtId="164" fontId="2" fillId="13" borderId="6" xfId="1" applyFont="1" applyFill="1" applyBorder="1" applyAlignment="1">
      <alignment horizontal="center" vertical="center" wrapText="1"/>
    </xf>
    <xf numFmtId="167" fontId="4" fillId="11" borderId="1" xfId="0" applyNumberFormat="1" applyFont="1" applyFill="1" applyBorder="1" applyAlignment="1">
      <alignment horizontal="center" vertical="center" wrapText="1"/>
    </xf>
    <xf numFmtId="167" fontId="4" fillId="11" borderId="5" xfId="0" applyNumberFormat="1" applyFont="1" applyFill="1" applyBorder="1" applyAlignment="1">
      <alignment horizontal="center" vertical="center" wrapText="1"/>
    </xf>
    <xf numFmtId="167" fontId="4" fillId="11" borderId="6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7" fontId="4" fillId="10" borderId="1" xfId="0" applyNumberFormat="1" applyFont="1" applyFill="1" applyBorder="1" applyAlignment="1">
      <alignment horizontal="center" vertical="center" wrapText="1"/>
    </xf>
    <xf numFmtId="167" fontId="12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167" fontId="13" fillId="11" borderId="1" xfId="0" applyNumberFormat="1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left" vertical="center" wrapText="1"/>
    </xf>
    <xf numFmtId="0" fontId="12" fillId="11" borderId="7" xfId="0" applyFont="1" applyFill="1" applyBorder="1" applyAlignment="1">
      <alignment horizontal="left" vertical="center" wrapText="1"/>
    </xf>
    <xf numFmtId="0" fontId="12" fillId="11" borderId="6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 wrapText="1"/>
    </xf>
    <xf numFmtId="165" fontId="3" fillId="6" borderId="6" xfId="0" applyNumberFormat="1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 wrapText="1"/>
    </xf>
    <xf numFmtId="165" fontId="3" fillId="7" borderId="6" xfId="0" applyNumberFormat="1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left" vertical="center" wrapText="1"/>
    </xf>
    <xf numFmtId="165" fontId="3" fillId="3" borderId="6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2" fillId="1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1" fillId="16" borderId="2" xfId="0" applyFont="1" applyFill="1" applyBorder="1" applyAlignment="1">
      <alignment horizontal="center" vertical="center"/>
    </xf>
    <xf numFmtId="0" fontId="21" fillId="16" borderId="8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4" fontId="7" fillId="5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07080-44F4-45BD-BF60-585B716457AC}">
  <sheetPr>
    <pageSetUpPr fitToPage="1"/>
  </sheetPr>
  <dimension ref="A1:S117"/>
  <sheetViews>
    <sheetView topLeftCell="A95" workbookViewId="0">
      <selection activeCell="A120" sqref="A120:G406"/>
    </sheetView>
  </sheetViews>
  <sheetFormatPr defaultColWidth="8.85546875" defaultRowHeight="12" x14ac:dyDescent="0.25"/>
  <cols>
    <col min="1" max="1" width="45.140625" style="1" customWidth="1"/>
    <col min="2" max="3" width="12" style="1" customWidth="1"/>
    <col min="4" max="4" width="14" style="1" customWidth="1"/>
    <col min="5" max="5" width="13.140625" style="1" customWidth="1"/>
    <col min="6" max="6" width="15.140625" style="1" customWidth="1"/>
    <col min="7" max="7" width="15" style="1" customWidth="1"/>
    <col min="8" max="9" width="9.140625" style="1" bestFit="1" customWidth="1"/>
    <col min="10" max="12" width="8.85546875" style="1"/>
    <col min="13" max="13" width="10" style="1" bestFit="1" customWidth="1"/>
    <col min="14" max="16384" width="8.85546875" style="1"/>
  </cols>
  <sheetData>
    <row r="1" spans="1:16" ht="27.75" customHeight="1" x14ac:dyDescent="0.25">
      <c r="A1" s="162" t="s">
        <v>196</v>
      </c>
      <c r="B1" s="162"/>
      <c r="C1" s="162"/>
      <c r="D1" s="162"/>
      <c r="E1" s="162"/>
      <c r="F1" s="162"/>
      <c r="G1" s="162"/>
    </row>
    <row r="2" spans="1:16" x14ac:dyDescent="0.25">
      <c r="A2" s="163" t="s">
        <v>58</v>
      </c>
      <c r="B2" s="163"/>
      <c r="C2" s="163"/>
      <c r="D2" s="163"/>
      <c r="E2" s="163"/>
      <c r="F2" s="163"/>
      <c r="G2" s="163"/>
    </row>
    <row r="3" spans="1:16" ht="12" customHeight="1" x14ac:dyDescent="0.25">
      <c r="A3" s="164" t="s">
        <v>155</v>
      </c>
      <c r="B3" s="165"/>
      <c r="C3" s="165"/>
      <c r="D3" s="165"/>
      <c r="E3" s="165"/>
      <c r="F3" s="165"/>
      <c r="G3" s="166"/>
    </row>
    <row r="4" spans="1:16" ht="36" x14ac:dyDescent="0.25">
      <c r="A4" s="27" t="s">
        <v>19</v>
      </c>
      <c r="B4" s="34" t="s">
        <v>154</v>
      </c>
      <c r="C4" s="35" t="s">
        <v>21</v>
      </c>
      <c r="D4" s="34" t="s">
        <v>0</v>
      </c>
      <c r="E4" s="34" t="s">
        <v>149</v>
      </c>
      <c r="F4" s="34" t="s">
        <v>20</v>
      </c>
      <c r="G4" s="34" t="s">
        <v>3</v>
      </c>
    </row>
    <row r="5" spans="1:16" ht="12.75" x14ac:dyDescent="0.25">
      <c r="A5" s="9" t="s">
        <v>197</v>
      </c>
      <c r="B5" s="10">
        <f>2113.26/220*75</f>
        <v>720.43</v>
      </c>
      <c r="C5" s="10"/>
      <c r="D5" s="19">
        <v>1</v>
      </c>
      <c r="E5" s="66">
        <f>B5+C5</f>
        <v>720.43</v>
      </c>
      <c r="F5" s="12">
        <f>E5*D5</f>
        <v>720.43</v>
      </c>
      <c r="G5" s="12">
        <f t="shared" ref="G5:G6" si="0">F5*12</f>
        <v>8645.16</v>
      </c>
      <c r="H5" s="59"/>
    </row>
    <row r="6" spans="1:16" ht="12.75" x14ac:dyDescent="0.25">
      <c r="A6" s="9" t="s">
        <v>168</v>
      </c>
      <c r="B6" s="10">
        <f>1700/220*200</f>
        <v>1545.45</v>
      </c>
      <c r="C6" s="10">
        <f>1412*20%</f>
        <v>282.39999999999998</v>
      </c>
      <c r="D6" s="19">
        <v>10</v>
      </c>
      <c r="E6" s="66">
        <f>B6+C6</f>
        <v>1827.85</v>
      </c>
      <c r="F6" s="12">
        <f>E6*D6</f>
        <v>18278.5</v>
      </c>
      <c r="G6" s="12">
        <f t="shared" si="0"/>
        <v>219342</v>
      </c>
      <c r="H6" s="59"/>
    </row>
    <row r="7" spans="1:16" ht="15" customHeight="1" x14ac:dyDescent="0.25">
      <c r="A7" s="161" t="s">
        <v>8</v>
      </c>
      <c r="B7" s="161"/>
      <c r="C7" s="161"/>
      <c r="D7" s="161"/>
      <c r="E7" s="161"/>
      <c r="F7" s="85">
        <f>SUM(F5:F6)</f>
        <v>18998.93</v>
      </c>
      <c r="G7" s="85">
        <f>F7*12</f>
        <v>227987.16</v>
      </c>
    </row>
    <row r="8" spans="1:16" x14ac:dyDescent="0.25">
      <c r="A8" s="167"/>
      <c r="B8" s="168"/>
      <c r="C8" s="168"/>
      <c r="D8" s="168"/>
      <c r="E8" s="105"/>
      <c r="F8" s="106"/>
    </row>
    <row r="9" spans="1:16" ht="15.75" customHeight="1" x14ac:dyDescent="0.25">
      <c r="A9" s="27" t="s">
        <v>45</v>
      </c>
      <c r="B9" s="34" t="s">
        <v>2</v>
      </c>
      <c r="C9" s="34" t="s">
        <v>20</v>
      </c>
      <c r="D9" s="34" t="s">
        <v>3</v>
      </c>
      <c r="E9" s="62"/>
      <c r="F9" s="62"/>
    </row>
    <row r="10" spans="1:16" ht="12.75" x14ac:dyDescent="0.25">
      <c r="A10" s="9" t="s">
        <v>52</v>
      </c>
      <c r="B10" s="11">
        <v>8.3299999999999999E-2</v>
      </c>
      <c r="C10" s="12">
        <f>B10*$F$7</f>
        <v>1582.61</v>
      </c>
      <c r="D10" s="12">
        <f>B10*$G$7</f>
        <v>18991.330000000002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2.75" x14ac:dyDescent="0.25">
      <c r="A11" s="9" t="s">
        <v>53</v>
      </c>
      <c r="B11" s="11">
        <v>8.3299999999999999E-2</v>
      </c>
      <c r="C11" s="12">
        <f>B11*$F$7</f>
        <v>1582.61</v>
      </c>
      <c r="D11" s="12">
        <f>B11*$G$7</f>
        <v>18991.330000000002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2.75" x14ac:dyDescent="0.25">
      <c r="A12" s="9" t="s">
        <v>54</v>
      </c>
      <c r="B12" s="11">
        <v>2.7799999999999998E-2</v>
      </c>
      <c r="C12" s="12">
        <f>B12*$F$7</f>
        <v>528.16999999999996</v>
      </c>
      <c r="D12" s="12">
        <f>B12*$G$7</f>
        <v>6338.04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x14ac:dyDescent="0.25">
      <c r="A13" s="34" t="s">
        <v>46</v>
      </c>
      <c r="B13" s="36">
        <f>SUM(B10:B12)</f>
        <v>0.19439999999999999</v>
      </c>
      <c r="C13" s="37">
        <f>SUM(C10:C12)</f>
        <v>3693.39</v>
      </c>
      <c r="D13" s="37">
        <f>C13*12</f>
        <v>44320.68</v>
      </c>
      <c r="E13" s="62"/>
      <c r="F13" s="62"/>
    </row>
    <row r="14" spans="1:16" x14ac:dyDescent="0.25">
      <c r="A14" s="103"/>
      <c r="B14" s="103"/>
      <c r="C14" s="103"/>
      <c r="D14" s="104"/>
      <c r="E14" s="105"/>
      <c r="F14" s="105"/>
    </row>
    <row r="15" spans="1:16" ht="12.75" customHeight="1" x14ac:dyDescent="0.25">
      <c r="A15" s="27" t="s">
        <v>47</v>
      </c>
      <c r="B15" s="34" t="s">
        <v>2</v>
      </c>
      <c r="C15" s="34" t="s">
        <v>20</v>
      </c>
      <c r="D15" s="34" t="s">
        <v>3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 x14ac:dyDescent="0.25">
      <c r="A16" s="9" t="s">
        <v>55</v>
      </c>
      <c r="B16" s="11">
        <v>0.2</v>
      </c>
      <c r="C16" s="12">
        <f t="shared" ref="C16:C23" si="1">B16*$F$7</f>
        <v>3799.79</v>
      </c>
      <c r="D16" s="12">
        <f t="shared" ref="D16:D23" si="2">B16*$G$7</f>
        <v>45597.43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ht="12.75" customHeight="1" x14ac:dyDescent="0.25">
      <c r="A17" s="9" t="s">
        <v>104</v>
      </c>
      <c r="B17" s="11">
        <v>2.5000000000000001E-2</v>
      </c>
      <c r="C17" s="12">
        <f t="shared" si="1"/>
        <v>474.97</v>
      </c>
      <c r="D17" s="12">
        <f t="shared" si="2"/>
        <v>5699.68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12.75" x14ac:dyDescent="0.25">
      <c r="A18" s="9" t="s">
        <v>105</v>
      </c>
      <c r="B18" s="11">
        <v>0.03</v>
      </c>
      <c r="C18" s="12">
        <f t="shared" si="1"/>
        <v>569.97</v>
      </c>
      <c r="D18" s="12">
        <f t="shared" si="2"/>
        <v>6839.61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12.75" x14ac:dyDescent="0.25">
      <c r="A19" s="9" t="s">
        <v>106</v>
      </c>
      <c r="B19" s="11">
        <v>1.4999999999999999E-2</v>
      </c>
      <c r="C19" s="12">
        <f t="shared" si="1"/>
        <v>284.98</v>
      </c>
      <c r="D19" s="12">
        <f t="shared" si="2"/>
        <v>3419.81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7" ht="12.75" x14ac:dyDescent="0.25">
      <c r="A20" s="9" t="s">
        <v>107</v>
      </c>
      <c r="B20" s="11">
        <v>0.01</v>
      </c>
      <c r="C20" s="12">
        <f t="shared" si="1"/>
        <v>189.99</v>
      </c>
      <c r="D20" s="12">
        <f t="shared" si="2"/>
        <v>2279.87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7" ht="12.75" customHeight="1" x14ac:dyDescent="0.25">
      <c r="A21" s="9" t="s">
        <v>108</v>
      </c>
      <c r="B21" s="11">
        <v>6.0000000000000001E-3</v>
      </c>
      <c r="C21" s="12">
        <f t="shared" si="1"/>
        <v>113.99</v>
      </c>
      <c r="D21" s="12">
        <f t="shared" si="2"/>
        <v>1367.92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7" ht="12.75" customHeight="1" x14ac:dyDescent="0.25">
      <c r="A22" s="9" t="s">
        <v>109</v>
      </c>
      <c r="B22" s="11">
        <v>2E-3</v>
      </c>
      <c r="C22" s="12">
        <f t="shared" si="1"/>
        <v>38</v>
      </c>
      <c r="D22" s="12">
        <f t="shared" si="2"/>
        <v>455.97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7" ht="12.75" customHeight="1" x14ac:dyDescent="0.25">
      <c r="A23" s="9" t="s">
        <v>110</v>
      </c>
      <c r="B23" s="11">
        <v>0.08</v>
      </c>
      <c r="C23" s="12">
        <f t="shared" si="1"/>
        <v>1519.91</v>
      </c>
      <c r="D23" s="12">
        <f t="shared" si="2"/>
        <v>18238.97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7" x14ac:dyDescent="0.25">
      <c r="A24" s="34" t="s">
        <v>48</v>
      </c>
      <c r="B24" s="36">
        <f>SUM(B16:B23)</f>
        <v>0.36799999999999999</v>
      </c>
      <c r="C24" s="37">
        <f>SUM(C16:C23)</f>
        <v>6991.6</v>
      </c>
      <c r="D24" s="37">
        <f>C24*12</f>
        <v>83899.199999999997</v>
      </c>
      <c r="E24" s="62"/>
      <c r="F24" s="62"/>
    </row>
    <row r="25" spans="1:17" x14ac:dyDescent="0.25">
      <c r="A25" s="103"/>
      <c r="B25" s="103"/>
      <c r="C25" s="103"/>
      <c r="D25" s="104"/>
      <c r="E25" s="105"/>
      <c r="F25" s="105"/>
    </row>
    <row r="26" spans="1:17" ht="24" x14ac:dyDescent="0.25">
      <c r="A26" s="27" t="s">
        <v>169</v>
      </c>
      <c r="B26" s="37" t="s">
        <v>56</v>
      </c>
      <c r="C26" s="37" t="s">
        <v>20</v>
      </c>
      <c r="D26" s="37" t="s">
        <v>3</v>
      </c>
      <c r="E26" s="31"/>
      <c r="F26" s="31"/>
    </row>
    <row r="27" spans="1:17" ht="24" x14ac:dyDescent="0.25">
      <c r="A27" s="9" t="s">
        <v>193</v>
      </c>
      <c r="B27" s="10">
        <f>(3.8*24*2)-B5*0.06</f>
        <v>139.16999999999999</v>
      </c>
      <c r="C27" s="12">
        <f>B27*$D$5</f>
        <v>139.16999999999999</v>
      </c>
      <c r="D27" s="12">
        <f t="shared" ref="D27" si="3">C27*12</f>
        <v>1670.04</v>
      </c>
      <c r="E27" s="75"/>
      <c r="F27" s="31"/>
    </row>
    <row r="28" spans="1:17" x14ac:dyDescent="0.25">
      <c r="A28" s="34" t="s">
        <v>140</v>
      </c>
      <c r="B28" s="37">
        <f>SUM(B27)</f>
        <v>139.16999999999999</v>
      </c>
      <c r="C28" s="37">
        <f>SUM(C27:C27)</f>
        <v>139.16999999999999</v>
      </c>
      <c r="D28" s="37">
        <f>C28*12</f>
        <v>1670.04</v>
      </c>
      <c r="E28" s="31"/>
      <c r="F28" s="31"/>
    </row>
    <row r="29" spans="1:17" x14ac:dyDescent="0.25">
      <c r="A29" s="31"/>
      <c r="B29" s="31"/>
      <c r="C29" s="31"/>
      <c r="D29" s="31"/>
      <c r="E29" s="31"/>
      <c r="F29" s="31"/>
    </row>
    <row r="30" spans="1:17" ht="21.75" customHeight="1" x14ac:dyDescent="0.25">
      <c r="A30" s="27" t="s">
        <v>170</v>
      </c>
      <c r="B30" s="34" t="s">
        <v>56</v>
      </c>
      <c r="C30" s="34" t="s">
        <v>20</v>
      </c>
      <c r="D30" s="34" t="s">
        <v>3</v>
      </c>
      <c r="E30" s="63"/>
    </row>
    <row r="31" spans="1:17" ht="24" x14ac:dyDescent="0.25">
      <c r="A31" s="9" t="s">
        <v>193</v>
      </c>
      <c r="B31" s="10">
        <f>(3.8*24*2)-B6*0.06</f>
        <v>89.67</v>
      </c>
      <c r="C31" s="12">
        <f>B31*$D$6</f>
        <v>896.7</v>
      </c>
      <c r="D31" s="12">
        <f t="shared" ref="D31:D37" si="4">C31*12</f>
        <v>10760.4</v>
      </c>
      <c r="E31" s="63"/>
    </row>
    <row r="32" spans="1:17" ht="12.75" x14ac:dyDescent="0.25">
      <c r="A32" s="9" t="s">
        <v>49</v>
      </c>
      <c r="B32" s="10">
        <f>700*80%</f>
        <v>560</v>
      </c>
      <c r="C32" s="12">
        <f t="shared" ref="C32:C36" si="5">B32*$D$6</f>
        <v>5600</v>
      </c>
      <c r="D32" s="12">
        <f t="shared" si="4"/>
        <v>67200</v>
      </c>
      <c r="E32" s="63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9" ht="12.75" x14ac:dyDescent="0.25">
      <c r="A33" s="9" t="s">
        <v>57</v>
      </c>
      <c r="B33" s="10">
        <v>160</v>
      </c>
      <c r="C33" s="12">
        <f t="shared" si="5"/>
        <v>1600</v>
      </c>
      <c r="D33" s="12">
        <f t="shared" si="4"/>
        <v>19200</v>
      </c>
      <c r="E33" s="63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9" ht="12.75" x14ac:dyDescent="0.25">
      <c r="A34" s="9" t="s">
        <v>50</v>
      </c>
      <c r="B34" s="10">
        <v>81</v>
      </c>
      <c r="C34" s="12">
        <f t="shared" si="5"/>
        <v>810</v>
      </c>
      <c r="D34" s="12">
        <f t="shared" si="4"/>
        <v>9720</v>
      </c>
      <c r="E34" s="6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9" ht="12.75" x14ac:dyDescent="0.25">
      <c r="A35" s="9" t="s">
        <v>51</v>
      </c>
      <c r="B35" s="10">
        <v>26</v>
      </c>
      <c r="C35" s="12">
        <f t="shared" si="5"/>
        <v>260</v>
      </c>
      <c r="D35" s="12">
        <f t="shared" si="4"/>
        <v>3120</v>
      </c>
      <c r="E35" s="63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9" ht="12.75" x14ac:dyDescent="0.25">
      <c r="A36" s="70" t="s">
        <v>164</v>
      </c>
      <c r="B36" s="71">
        <v>26</v>
      </c>
      <c r="C36" s="12">
        <f t="shared" si="5"/>
        <v>260</v>
      </c>
      <c r="D36" s="72">
        <f t="shared" si="4"/>
        <v>3120</v>
      </c>
      <c r="E36" s="63"/>
      <c r="F36" s="62"/>
      <c r="G36" s="58"/>
      <c r="H36" s="58"/>
      <c r="I36" s="60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.75" x14ac:dyDescent="0.25">
      <c r="A37" s="9" t="s">
        <v>136</v>
      </c>
      <c r="B37" s="10">
        <v>700</v>
      </c>
      <c r="C37" s="12">
        <f>(B37/12)*$D$6</f>
        <v>583.33000000000004</v>
      </c>
      <c r="D37" s="12">
        <f t="shared" si="4"/>
        <v>6999.96</v>
      </c>
      <c r="E37" s="63"/>
      <c r="F37" s="62"/>
      <c r="G37" s="58"/>
      <c r="H37" s="58"/>
      <c r="I37" s="60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4.25" customHeight="1" x14ac:dyDescent="0.25">
      <c r="A38" s="34" t="s">
        <v>148</v>
      </c>
      <c r="B38" s="37">
        <f>SUM(B31:B37)</f>
        <v>1642.67</v>
      </c>
      <c r="C38" s="37">
        <f>SUM(C31:C37)</f>
        <v>10010.030000000001</v>
      </c>
      <c r="D38" s="37">
        <f>C38*12</f>
        <v>120120.36</v>
      </c>
      <c r="E38" s="62"/>
      <c r="F38" s="62"/>
    </row>
    <row r="39" spans="1:19" s="31" customFormat="1" ht="25.5" customHeight="1" x14ac:dyDescent="0.25">
      <c r="A39" s="135" t="s">
        <v>9</v>
      </c>
      <c r="B39" s="136"/>
      <c r="C39" s="84">
        <f>F7+C13+C24+C38+C28</f>
        <v>39833.120000000003</v>
      </c>
      <c r="D39" s="84">
        <f>C39*12</f>
        <v>477997.44</v>
      </c>
      <c r="E39" s="62"/>
      <c r="F39" s="62"/>
    </row>
    <row r="40" spans="1:19" x14ac:dyDescent="0.25">
      <c r="A40" s="62"/>
      <c r="B40" s="62"/>
      <c r="C40" s="62"/>
      <c r="D40" s="62"/>
      <c r="E40" s="62"/>
      <c r="F40" s="62"/>
    </row>
    <row r="41" spans="1:19" ht="12" customHeight="1" x14ac:dyDescent="0.25">
      <c r="A41" s="148" t="s">
        <v>67</v>
      </c>
      <c r="B41" s="148"/>
      <c r="C41" s="148"/>
      <c r="D41" s="148"/>
      <c r="E41" s="62"/>
      <c r="F41" s="62"/>
    </row>
    <row r="42" spans="1:19" ht="24" x14ac:dyDescent="0.25">
      <c r="A42" s="38" t="s">
        <v>66</v>
      </c>
      <c r="B42" s="39" t="s">
        <v>2</v>
      </c>
      <c r="C42" s="39" t="s">
        <v>20</v>
      </c>
      <c r="D42" s="39" t="s">
        <v>3</v>
      </c>
      <c r="E42" s="62"/>
      <c r="F42" s="62"/>
    </row>
    <row r="43" spans="1:19" ht="12.75" x14ac:dyDescent="0.25">
      <c r="A43" s="29" t="s">
        <v>59</v>
      </c>
      <c r="B43" s="32">
        <v>4.1999999999999997E-3</v>
      </c>
      <c r="C43" s="30">
        <f t="shared" ref="C43:C48" si="6">B43*$F$7</f>
        <v>79.8</v>
      </c>
      <c r="D43" s="30">
        <f t="shared" ref="D43:D48" si="7">B43*$G$7</f>
        <v>957.55</v>
      </c>
      <c r="E43" s="59"/>
    </row>
    <row r="44" spans="1:19" ht="12.75" x14ac:dyDescent="0.25">
      <c r="A44" s="29" t="s">
        <v>60</v>
      </c>
      <c r="B44" s="33">
        <v>3.3E-4</v>
      </c>
      <c r="C44" s="30">
        <f t="shared" si="6"/>
        <v>6.27</v>
      </c>
      <c r="D44" s="30">
        <f t="shared" si="7"/>
        <v>75.239999999999995</v>
      </c>
      <c r="E44" s="59"/>
    </row>
    <row r="45" spans="1:19" ht="12.75" x14ac:dyDescent="0.25">
      <c r="A45" s="29" t="s">
        <v>61</v>
      </c>
      <c r="B45" s="33">
        <v>1.6000000000000001E-4</v>
      </c>
      <c r="C45" s="30">
        <f t="shared" si="6"/>
        <v>3.04</v>
      </c>
      <c r="D45" s="30">
        <f t="shared" si="7"/>
        <v>36.479999999999997</v>
      </c>
      <c r="E45" s="59"/>
    </row>
    <row r="46" spans="1:19" ht="12.75" x14ac:dyDescent="0.25">
      <c r="A46" s="29" t="s">
        <v>62</v>
      </c>
      <c r="B46" s="32">
        <v>1.9400000000000001E-2</v>
      </c>
      <c r="C46" s="30">
        <f t="shared" si="6"/>
        <v>368.58</v>
      </c>
      <c r="D46" s="30">
        <f t="shared" si="7"/>
        <v>4422.95</v>
      </c>
      <c r="E46" s="59"/>
    </row>
    <row r="47" spans="1:19" ht="24" x14ac:dyDescent="0.25">
      <c r="A47" s="29" t="s">
        <v>63</v>
      </c>
      <c r="B47" s="32">
        <v>7.1999999999999998E-3</v>
      </c>
      <c r="C47" s="30">
        <f t="shared" si="6"/>
        <v>136.79</v>
      </c>
      <c r="D47" s="30">
        <f t="shared" si="7"/>
        <v>1641.51</v>
      </c>
      <c r="E47" s="59"/>
    </row>
    <row r="48" spans="1:19" ht="12.75" x14ac:dyDescent="0.25">
      <c r="A48" s="29" t="s">
        <v>64</v>
      </c>
      <c r="B48" s="33">
        <v>7.6999999999999996E-4</v>
      </c>
      <c r="C48" s="30">
        <f t="shared" si="6"/>
        <v>14.63</v>
      </c>
      <c r="D48" s="30">
        <f t="shared" si="7"/>
        <v>175.55</v>
      </c>
      <c r="E48" s="59"/>
    </row>
    <row r="49" spans="1:17" ht="15.75" customHeight="1" x14ac:dyDescent="0.25">
      <c r="A49" s="39" t="s">
        <v>74</v>
      </c>
      <c r="B49" s="40">
        <f>SUM(B43:B48)</f>
        <v>3.2099999999999997E-2</v>
      </c>
      <c r="C49" s="41">
        <f>SUM(C43:C48)</f>
        <v>609.11</v>
      </c>
      <c r="D49" s="41">
        <f>C49*12</f>
        <v>7309.32</v>
      </c>
      <c r="E49" s="62"/>
      <c r="F49" s="62"/>
    </row>
    <row r="50" spans="1:17" s="31" customFormat="1" ht="15.75" customHeight="1" x14ac:dyDescent="0.25">
      <c r="A50" s="100"/>
      <c r="B50" s="101"/>
      <c r="C50" s="101"/>
      <c r="D50" s="101"/>
      <c r="E50" s="62"/>
      <c r="F50" s="62"/>
    </row>
    <row r="51" spans="1:17" ht="14.25" customHeight="1" x14ac:dyDescent="0.25">
      <c r="A51" s="38" t="s">
        <v>68</v>
      </c>
      <c r="B51" s="39" t="s">
        <v>2</v>
      </c>
      <c r="C51" s="39" t="s">
        <v>20</v>
      </c>
      <c r="D51" s="39" t="s">
        <v>3</v>
      </c>
      <c r="E51" s="61"/>
      <c r="F51" s="61"/>
    </row>
    <row r="52" spans="1:17" ht="12.75" x14ac:dyDescent="0.25">
      <c r="A52" s="29" t="s">
        <v>69</v>
      </c>
      <c r="B52" s="32">
        <v>8.3299999999999999E-2</v>
      </c>
      <c r="C52" s="30">
        <f>B52*$F$7</f>
        <v>1582.61</v>
      </c>
      <c r="D52" s="30">
        <f>B52*$G$7</f>
        <v>18991.330000000002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spans="1:17" ht="12.75" customHeight="1" x14ac:dyDescent="0.25">
      <c r="A53" s="29" t="s">
        <v>70</v>
      </c>
      <c r="B53" s="32">
        <v>8.0000000000000004E-4</v>
      </c>
      <c r="C53" s="30">
        <f>B53*$F$7</f>
        <v>15.2</v>
      </c>
      <c r="D53" s="30">
        <f>B53*$G$7</f>
        <v>182.39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ht="24" x14ac:dyDescent="0.25">
      <c r="A54" s="29" t="s">
        <v>71</v>
      </c>
      <c r="B54" s="32">
        <v>2.9999999999999997E-4</v>
      </c>
      <c r="C54" s="30">
        <f>B54*$F$7</f>
        <v>5.7</v>
      </c>
      <c r="D54" s="30">
        <f>B54*$G$7</f>
        <v>68.400000000000006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ht="24" x14ac:dyDescent="0.25">
      <c r="A55" s="29" t="s">
        <v>72</v>
      </c>
      <c r="B55" s="32">
        <v>1.2999999999999999E-3</v>
      </c>
      <c r="C55" s="30">
        <f>B55*$F$7</f>
        <v>24.7</v>
      </c>
      <c r="D55" s="30">
        <f>B55*$G$7</f>
        <v>296.38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12.75" x14ac:dyDescent="0.25">
      <c r="A56" s="29" t="s">
        <v>73</v>
      </c>
      <c r="B56" s="32">
        <v>8.2000000000000007E-3</v>
      </c>
      <c r="C56" s="30">
        <f>B56*$F$7</f>
        <v>155.79</v>
      </c>
      <c r="D56" s="30">
        <f>B56*$G$7</f>
        <v>1869.49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x14ac:dyDescent="0.25">
      <c r="A57" s="39" t="s">
        <v>75</v>
      </c>
      <c r="B57" s="40">
        <f>SUM(B52:B56)</f>
        <v>9.3899999999999997E-2</v>
      </c>
      <c r="C57" s="41">
        <f>SUM(C52:C56)</f>
        <v>1784</v>
      </c>
      <c r="D57" s="41">
        <f>C57*12</f>
        <v>21408</v>
      </c>
      <c r="E57" s="61"/>
      <c r="F57" s="61"/>
    </row>
    <row r="58" spans="1:17" ht="24" customHeight="1" x14ac:dyDescent="0.25">
      <c r="A58" s="149" t="s">
        <v>76</v>
      </c>
      <c r="B58" s="150"/>
      <c r="C58" s="82">
        <f>SUM(C49,C57)</f>
        <v>2393.11</v>
      </c>
      <c r="D58" s="83">
        <f>C58*12</f>
        <v>28717.32</v>
      </c>
      <c r="E58" s="61"/>
      <c r="F58" s="61"/>
    </row>
    <row r="59" spans="1:17" x14ac:dyDescent="0.25">
      <c r="A59" s="100"/>
      <c r="B59" s="101"/>
      <c r="C59" s="101"/>
      <c r="D59" s="101"/>
      <c r="E59" s="102"/>
      <c r="F59" s="102"/>
    </row>
    <row r="60" spans="1:17" ht="14.45" customHeight="1" x14ac:dyDescent="0.25">
      <c r="A60" s="151" t="s">
        <v>77</v>
      </c>
      <c r="B60" s="152"/>
      <c r="C60" s="152"/>
      <c r="D60" s="152"/>
      <c r="E60" s="152"/>
      <c r="F60" s="153"/>
      <c r="G60" s="59"/>
    </row>
    <row r="61" spans="1:17" ht="24" x14ac:dyDescent="0.25">
      <c r="A61" s="42" t="s">
        <v>65</v>
      </c>
      <c r="B61" s="43" t="s">
        <v>144</v>
      </c>
      <c r="C61" s="43" t="s">
        <v>5</v>
      </c>
      <c r="D61" s="43" t="s">
        <v>1</v>
      </c>
      <c r="E61" s="43" t="s">
        <v>20</v>
      </c>
      <c r="F61" s="43" t="s">
        <v>3</v>
      </c>
    </row>
    <row r="62" spans="1:17" x14ac:dyDescent="0.25">
      <c r="A62" s="28" t="s">
        <v>150</v>
      </c>
      <c r="B62" s="3">
        <v>2</v>
      </c>
      <c r="C62" s="74">
        <f>SUM($D$5:$D$6)*B62</f>
        <v>22</v>
      </c>
      <c r="D62" s="26">
        <v>145</v>
      </c>
      <c r="E62" s="4">
        <f>D62*C62/12</f>
        <v>265.83</v>
      </c>
      <c r="F62" s="4">
        <f>D62*C62</f>
        <v>3190</v>
      </c>
    </row>
    <row r="63" spans="1:17" x14ac:dyDescent="0.25">
      <c r="A63" s="28" t="s">
        <v>171</v>
      </c>
      <c r="B63" s="3">
        <v>4</v>
      </c>
      <c r="C63" s="74">
        <f t="shared" ref="C63:C66" si="8">SUM($D$5:$D$6)*B63</f>
        <v>44</v>
      </c>
      <c r="D63" s="26">
        <v>34</v>
      </c>
      <c r="E63" s="4">
        <f t="shared" ref="E63:E68" si="9">D63*C63/12</f>
        <v>124.67</v>
      </c>
      <c r="F63" s="4">
        <f t="shared" ref="F63:F68" si="10">D63*C63</f>
        <v>1496</v>
      </c>
    </row>
    <row r="64" spans="1:17" x14ac:dyDescent="0.25">
      <c r="A64" s="28" t="s">
        <v>172</v>
      </c>
      <c r="B64" s="3">
        <v>4</v>
      </c>
      <c r="C64" s="74">
        <f t="shared" si="8"/>
        <v>44</v>
      </c>
      <c r="D64" s="26">
        <v>39.9</v>
      </c>
      <c r="E64" s="4">
        <f t="shared" si="9"/>
        <v>146.30000000000001</v>
      </c>
      <c r="F64" s="4">
        <f t="shared" si="10"/>
        <v>1755.6</v>
      </c>
    </row>
    <row r="65" spans="1:9" x14ac:dyDescent="0.25">
      <c r="A65" s="28" t="s">
        <v>151</v>
      </c>
      <c r="B65" s="3">
        <v>2</v>
      </c>
      <c r="C65" s="74">
        <f t="shared" si="8"/>
        <v>22</v>
      </c>
      <c r="D65" s="26">
        <v>59.9</v>
      </c>
      <c r="E65" s="4">
        <f t="shared" si="9"/>
        <v>109.82</v>
      </c>
      <c r="F65" s="4">
        <f t="shared" si="10"/>
        <v>1317.8</v>
      </c>
    </row>
    <row r="66" spans="1:9" x14ac:dyDescent="0.25">
      <c r="A66" s="28" t="s">
        <v>152</v>
      </c>
      <c r="B66" s="3">
        <v>4</v>
      </c>
      <c r="C66" s="74">
        <f t="shared" si="8"/>
        <v>44</v>
      </c>
      <c r="D66" s="26">
        <v>55.96</v>
      </c>
      <c r="E66" s="4">
        <f t="shared" si="9"/>
        <v>205.19</v>
      </c>
      <c r="F66" s="4">
        <f t="shared" si="10"/>
        <v>2462.2399999999998</v>
      </c>
    </row>
    <row r="67" spans="1:9" x14ac:dyDescent="0.25">
      <c r="A67" s="28" t="s">
        <v>173</v>
      </c>
      <c r="B67" s="3">
        <v>12</v>
      </c>
      <c r="C67" s="74">
        <f t="shared" ref="C67" si="11">SUM($D$5:$D$6)*B67</f>
        <v>132</v>
      </c>
      <c r="D67" s="67">
        <v>19.899999999999999</v>
      </c>
      <c r="E67" s="4">
        <f t="shared" si="9"/>
        <v>218.9</v>
      </c>
      <c r="F67" s="4">
        <f t="shared" si="10"/>
        <v>2626.8</v>
      </c>
    </row>
    <row r="68" spans="1:9" x14ac:dyDescent="0.25">
      <c r="A68" s="28" t="s">
        <v>174</v>
      </c>
      <c r="B68" s="3">
        <v>6</v>
      </c>
      <c r="C68" s="74">
        <f t="shared" ref="C68" si="12">SUM($D$5:$D$6)*B68</f>
        <v>66</v>
      </c>
      <c r="D68" s="26">
        <v>1.66</v>
      </c>
      <c r="E68" s="4">
        <f t="shared" si="9"/>
        <v>9.1300000000000008</v>
      </c>
      <c r="F68" s="4">
        <f t="shared" si="10"/>
        <v>109.56</v>
      </c>
    </row>
    <row r="69" spans="1:9" x14ac:dyDescent="0.25">
      <c r="A69" s="28" t="s">
        <v>175</v>
      </c>
      <c r="B69" s="3">
        <v>2</v>
      </c>
      <c r="C69" s="74">
        <f>$D$6*B69</f>
        <v>20</v>
      </c>
      <c r="D69" s="26">
        <v>11.8</v>
      </c>
      <c r="E69" s="4">
        <f t="shared" ref="E69:E72" si="13">D69*C69/12</f>
        <v>19.670000000000002</v>
      </c>
      <c r="F69" s="4">
        <f t="shared" ref="F69:F72" si="14">D69*C69</f>
        <v>236</v>
      </c>
    </row>
    <row r="70" spans="1:9" x14ac:dyDescent="0.25">
      <c r="A70" s="28" t="s">
        <v>176</v>
      </c>
      <c r="B70" s="3">
        <v>4</v>
      </c>
      <c r="C70" s="74">
        <f t="shared" ref="C70:C72" si="15">$D$6*B70</f>
        <v>40</v>
      </c>
      <c r="D70" s="26">
        <v>14.53</v>
      </c>
      <c r="E70" s="4">
        <f t="shared" si="13"/>
        <v>48.43</v>
      </c>
      <c r="F70" s="4">
        <f t="shared" si="14"/>
        <v>581.20000000000005</v>
      </c>
    </row>
    <row r="71" spans="1:9" x14ac:dyDescent="0.25">
      <c r="A71" s="28" t="s">
        <v>177</v>
      </c>
      <c r="B71" s="3">
        <v>2</v>
      </c>
      <c r="C71" s="74">
        <f t="shared" si="15"/>
        <v>20</v>
      </c>
      <c r="D71" s="26">
        <v>19.05</v>
      </c>
      <c r="E71" s="4">
        <f t="shared" si="13"/>
        <v>31.75</v>
      </c>
      <c r="F71" s="4">
        <f t="shared" si="14"/>
        <v>381</v>
      </c>
    </row>
    <row r="72" spans="1:9" x14ac:dyDescent="0.25">
      <c r="A72" s="28" t="s">
        <v>178</v>
      </c>
      <c r="B72" s="3">
        <v>2</v>
      </c>
      <c r="C72" s="74">
        <f t="shared" si="15"/>
        <v>20</v>
      </c>
      <c r="D72" s="26">
        <v>38.9</v>
      </c>
      <c r="E72" s="4">
        <f t="shared" si="13"/>
        <v>64.83</v>
      </c>
      <c r="F72" s="4">
        <f t="shared" si="14"/>
        <v>778</v>
      </c>
    </row>
    <row r="73" spans="1:9" x14ac:dyDescent="0.25">
      <c r="A73" s="43" t="s">
        <v>78</v>
      </c>
      <c r="B73" s="44" t="s">
        <v>43</v>
      </c>
      <c r="C73" s="88">
        <f>SUM(E62:E72)</f>
        <v>1244.52</v>
      </c>
      <c r="D73" s="89" t="s">
        <v>6</v>
      </c>
      <c r="E73" s="154">
        <f>C73*12</f>
        <v>14934.24</v>
      </c>
      <c r="F73" s="155"/>
    </row>
    <row r="74" spans="1:9" x14ac:dyDescent="0.25">
      <c r="A74" s="156"/>
      <c r="B74" s="157"/>
      <c r="C74" s="157"/>
      <c r="D74" s="157"/>
      <c r="E74" s="157"/>
      <c r="F74" s="158"/>
    </row>
    <row r="75" spans="1:9" ht="36" x14ac:dyDescent="0.25">
      <c r="A75" s="42" t="s">
        <v>79</v>
      </c>
      <c r="B75" s="43" t="s">
        <v>39</v>
      </c>
      <c r="C75" s="43" t="s">
        <v>1</v>
      </c>
      <c r="D75" s="43" t="s">
        <v>4</v>
      </c>
      <c r="E75" s="43" t="s">
        <v>20</v>
      </c>
      <c r="F75" s="43" t="s">
        <v>10</v>
      </c>
    </row>
    <row r="76" spans="1:9" x14ac:dyDescent="0.25">
      <c r="A76" s="28" t="s">
        <v>179</v>
      </c>
      <c r="B76" s="74">
        <f>D6</f>
        <v>10</v>
      </c>
      <c r="C76" s="26">
        <v>910</v>
      </c>
      <c r="D76" s="5">
        <v>0.15</v>
      </c>
      <c r="E76" s="4">
        <f>(B76*C76)*(D76)/12</f>
        <v>113.75</v>
      </c>
      <c r="F76" s="4">
        <f>(B76*C76)*D76</f>
        <v>1365</v>
      </c>
      <c r="G76" s="64"/>
    </row>
    <row r="77" spans="1:9" x14ac:dyDescent="0.25">
      <c r="A77" s="28" t="s">
        <v>141</v>
      </c>
      <c r="B77" s="74">
        <f>D6*2</f>
        <v>20</v>
      </c>
      <c r="C77" s="26">
        <v>98.9</v>
      </c>
      <c r="D77" s="5" t="s">
        <v>18</v>
      </c>
      <c r="E77" s="4">
        <f>(B77*C77)/12</f>
        <v>164.83</v>
      </c>
      <c r="F77" s="4">
        <f>E77*12</f>
        <v>1977.96</v>
      </c>
      <c r="H77" s="73"/>
      <c r="I77" s="65"/>
    </row>
    <row r="78" spans="1:9" x14ac:dyDescent="0.25">
      <c r="A78" s="28" t="s">
        <v>142</v>
      </c>
      <c r="B78" s="74">
        <f>D6*4</f>
        <v>40</v>
      </c>
      <c r="C78" s="26">
        <v>34.9</v>
      </c>
      <c r="D78" s="5" t="s">
        <v>18</v>
      </c>
      <c r="E78" s="4">
        <f>(B78*C78)/12</f>
        <v>116.33</v>
      </c>
      <c r="F78" s="4">
        <f>E78*12</f>
        <v>1395.96</v>
      </c>
      <c r="G78" s="65"/>
    </row>
    <row r="79" spans="1:9" x14ac:dyDescent="0.25">
      <c r="A79" s="28" t="s">
        <v>143</v>
      </c>
      <c r="B79" s="74">
        <f>D6</f>
        <v>10</v>
      </c>
      <c r="C79" s="26">
        <v>175.41</v>
      </c>
      <c r="D79" s="5" t="s">
        <v>18</v>
      </c>
      <c r="E79" s="4">
        <f>(B79*C79)/12</f>
        <v>146.18</v>
      </c>
      <c r="F79" s="4">
        <f>E79*12</f>
        <v>1754.16</v>
      </c>
    </row>
    <row r="80" spans="1:9" x14ac:dyDescent="0.25">
      <c r="A80" s="28" t="s">
        <v>153</v>
      </c>
      <c r="B80" s="76">
        <f>D6</f>
        <v>10</v>
      </c>
      <c r="C80" s="26">
        <v>39.9</v>
      </c>
      <c r="D80" s="5">
        <v>0.1</v>
      </c>
      <c r="E80" s="4">
        <f>(B80*C80)*(D80)/12</f>
        <v>3.33</v>
      </c>
      <c r="F80" s="4">
        <f>E80*12</f>
        <v>39.96</v>
      </c>
    </row>
    <row r="81" spans="1:7" ht="36" x14ac:dyDescent="0.25">
      <c r="A81" s="43" t="s">
        <v>80</v>
      </c>
      <c r="B81" s="44" t="s">
        <v>20</v>
      </c>
      <c r="C81" s="45">
        <f>SUM(E76:E80)</f>
        <v>544.41999999999996</v>
      </c>
      <c r="D81" s="44" t="s">
        <v>11</v>
      </c>
      <c r="E81" s="159">
        <f>SUM(F76:F80)</f>
        <v>6533.04</v>
      </c>
      <c r="F81" s="160"/>
    </row>
    <row r="82" spans="1:7" ht="24" x14ac:dyDescent="0.25">
      <c r="A82" s="7" t="s">
        <v>81</v>
      </c>
      <c r="B82" s="8" t="s">
        <v>20</v>
      </c>
      <c r="C82" s="86">
        <f>C73+C81</f>
        <v>1788.94</v>
      </c>
      <c r="D82" s="8" t="s">
        <v>7</v>
      </c>
      <c r="E82" s="146">
        <f>C82*12</f>
        <v>21467.279999999999</v>
      </c>
      <c r="F82" s="147"/>
    </row>
    <row r="83" spans="1:7" x14ac:dyDescent="0.25">
      <c r="A83" s="108"/>
      <c r="B83" s="109"/>
      <c r="C83" s="109"/>
      <c r="D83" s="109"/>
      <c r="E83" s="109"/>
      <c r="F83" s="110"/>
    </row>
    <row r="84" spans="1:7" ht="14.45" customHeight="1" x14ac:dyDescent="0.25">
      <c r="A84" s="138" t="s">
        <v>82</v>
      </c>
      <c r="B84" s="138"/>
      <c r="C84" s="138"/>
      <c r="D84" s="138"/>
      <c r="E84" s="138"/>
      <c r="F84" s="138"/>
      <c r="G84" s="59"/>
    </row>
    <row r="85" spans="1:7" ht="19.5" customHeight="1" x14ac:dyDescent="0.25">
      <c r="A85" s="18" t="s">
        <v>137</v>
      </c>
      <c r="B85" s="6" t="s">
        <v>32</v>
      </c>
      <c r="C85" s="6" t="s">
        <v>138</v>
      </c>
      <c r="D85" s="6" t="s">
        <v>139</v>
      </c>
      <c r="E85" s="6" t="s">
        <v>20</v>
      </c>
      <c r="F85" s="6" t="s">
        <v>7</v>
      </c>
    </row>
    <row r="86" spans="1:7" x14ac:dyDescent="0.25">
      <c r="A86" s="25" t="str">
        <f>'ITEM 01 - VEÍCULO'!A4</f>
        <v>Veículo coletor (Resíduos Varrição)</v>
      </c>
      <c r="B86" s="2">
        <f>'ITEM 01 - VEÍCULO'!E5</f>
        <v>500</v>
      </c>
      <c r="C86" s="2">
        <f>B86*12</f>
        <v>6000</v>
      </c>
      <c r="D86" s="10">
        <f>'ITEM 01 - VEÍCULO'!E22</f>
        <v>10.86</v>
      </c>
      <c r="E86" s="16">
        <f>B86*D86</f>
        <v>5430</v>
      </c>
      <c r="F86" s="16">
        <f>C86*D86</f>
        <v>65160</v>
      </c>
    </row>
    <row r="87" spans="1:7" x14ac:dyDescent="0.25">
      <c r="A87" s="13" t="s">
        <v>83</v>
      </c>
      <c r="B87" s="14" t="s">
        <v>20</v>
      </c>
      <c r="C87" s="87">
        <f>SUM(E86:E86)</f>
        <v>5430</v>
      </c>
      <c r="D87" s="15" t="s">
        <v>7</v>
      </c>
      <c r="E87" s="139">
        <f>C87*12</f>
        <v>65160</v>
      </c>
      <c r="F87" s="140"/>
    </row>
    <row r="88" spans="1:7" x14ac:dyDescent="0.25">
      <c r="A88" s="108"/>
      <c r="B88" s="109"/>
      <c r="C88" s="109"/>
      <c r="D88" s="109"/>
      <c r="E88" s="109"/>
      <c r="F88" s="110"/>
    </row>
    <row r="89" spans="1:7" ht="12.75" x14ac:dyDescent="0.25">
      <c r="A89" s="141" t="s">
        <v>84</v>
      </c>
      <c r="B89" s="142"/>
      <c r="C89" s="142"/>
      <c r="D89" s="142"/>
      <c r="E89" s="142"/>
      <c r="F89" s="143"/>
      <c r="G89" s="59"/>
    </row>
    <row r="90" spans="1:7" x14ac:dyDescent="0.25">
      <c r="A90" s="144" t="s">
        <v>84</v>
      </c>
      <c r="B90" s="144" t="s">
        <v>88</v>
      </c>
      <c r="C90" s="145" t="s">
        <v>20</v>
      </c>
      <c r="D90" s="145"/>
      <c r="E90" s="145" t="s">
        <v>3</v>
      </c>
      <c r="F90" s="145"/>
    </row>
    <row r="91" spans="1:7" ht="12" customHeight="1" x14ac:dyDescent="0.25">
      <c r="A91" s="129" t="s">
        <v>99</v>
      </c>
      <c r="B91" s="129"/>
      <c r="C91" s="127">
        <f>SUM(C39,C58,C82,C87)</f>
        <v>49445.17</v>
      </c>
      <c r="D91" s="127"/>
      <c r="E91" s="127">
        <f>C91*12</f>
        <v>593342.04</v>
      </c>
      <c r="F91" s="127"/>
    </row>
    <row r="92" spans="1:7" ht="12" customHeight="1" x14ac:dyDescent="0.25">
      <c r="A92" s="129"/>
      <c r="B92" s="129"/>
      <c r="C92" s="127"/>
      <c r="D92" s="127"/>
      <c r="E92" s="127"/>
      <c r="F92" s="127"/>
    </row>
    <row r="93" spans="1:7" ht="12.75" x14ac:dyDescent="0.25">
      <c r="A93" s="50" t="s">
        <v>97</v>
      </c>
      <c r="B93" s="57">
        <v>0.03</v>
      </c>
      <c r="C93" s="122">
        <f>C91*B93</f>
        <v>1483.36</v>
      </c>
      <c r="D93" s="122"/>
      <c r="E93" s="122">
        <f>C93*12</f>
        <v>17800.32</v>
      </c>
      <c r="F93" s="122"/>
      <c r="G93" s="59"/>
    </row>
    <row r="94" spans="1:7" ht="12" customHeight="1" x14ac:dyDescent="0.25">
      <c r="A94" s="137" t="s">
        <v>100</v>
      </c>
      <c r="B94" s="137"/>
      <c r="C94" s="127">
        <f>C91+C93</f>
        <v>50928.53</v>
      </c>
      <c r="D94" s="127"/>
      <c r="E94" s="127">
        <f>E91+E93</f>
        <v>611142.36</v>
      </c>
      <c r="F94" s="127"/>
    </row>
    <row r="95" spans="1:7" ht="12" customHeight="1" x14ac:dyDescent="0.25">
      <c r="A95" s="137"/>
      <c r="B95" s="137"/>
      <c r="C95" s="127"/>
      <c r="D95" s="127"/>
      <c r="E95" s="127"/>
      <c r="F95" s="127"/>
    </row>
    <row r="96" spans="1:7" ht="12.75" x14ac:dyDescent="0.25">
      <c r="A96" s="50" t="s">
        <v>89</v>
      </c>
      <c r="B96" s="57">
        <v>6.7900000000000002E-2</v>
      </c>
      <c r="C96" s="122">
        <f>C94*B96</f>
        <v>3458.05</v>
      </c>
      <c r="D96" s="122"/>
      <c r="E96" s="122">
        <f>C96*12</f>
        <v>41496.6</v>
      </c>
      <c r="F96" s="122"/>
      <c r="G96" s="59"/>
    </row>
    <row r="97" spans="1:8" x14ac:dyDescent="0.25">
      <c r="A97" s="128" t="s">
        <v>90</v>
      </c>
      <c r="B97" s="128"/>
      <c r="C97" s="128"/>
      <c r="D97" s="128"/>
      <c r="E97" s="51"/>
      <c r="F97" s="52"/>
    </row>
    <row r="98" spans="1:8" x14ac:dyDescent="0.25">
      <c r="A98" s="129" t="s">
        <v>91</v>
      </c>
      <c r="B98" s="129"/>
      <c r="C98" s="130">
        <f>C96+C93+C91</f>
        <v>54386.58</v>
      </c>
      <c r="D98" s="130"/>
      <c r="E98" s="130">
        <f>E96+E93+E91</f>
        <v>652638.96</v>
      </c>
      <c r="F98" s="130"/>
    </row>
    <row r="99" spans="1:8" ht="12.75" customHeight="1" x14ac:dyDescent="0.25">
      <c r="A99" s="131" t="s">
        <v>92</v>
      </c>
      <c r="B99" s="132"/>
      <c r="C99" s="132"/>
      <c r="D99" s="132"/>
      <c r="E99" s="132"/>
      <c r="F99" s="133"/>
    </row>
    <row r="100" spans="1:8" ht="12.75" x14ac:dyDescent="0.25">
      <c r="A100" s="53" t="s">
        <v>93</v>
      </c>
      <c r="B100" s="53"/>
      <c r="C100" s="134" t="s">
        <v>20</v>
      </c>
      <c r="D100" s="134"/>
      <c r="E100" s="134" t="s">
        <v>3</v>
      </c>
      <c r="F100" s="134"/>
      <c r="G100" s="59"/>
    </row>
    <row r="101" spans="1:8" ht="12.75" x14ac:dyDescent="0.25">
      <c r="A101" s="54" t="s">
        <v>94</v>
      </c>
      <c r="B101" s="57">
        <v>7.5999999999999998E-2</v>
      </c>
      <c r="C101" s="122">
        <f>($C$98)*B101/(1-($B$104))</f>
        <v>4820.2700000000004</v>
      </c>
      <c r="D101" s="122"/>
      <c r="E101" s="122">
        <f>C101*12</f>
        <v>57843.24</v>
      </c>
      <c r="F101" s="122"/>
      <c r="G101" s="59"/>
    </row>
    <row r="102" spans="1:8" ht="12.75" x14ac:dyDescent="0.25">
      <c r="A102" s="54" t="s">
        <v>95</v>
      </c>
      <c r="B102" s="57">
        <v>1.6500000000000001E-2</v>
      </c>
      <c r="C102" s="122">
        <f t="shared" ref="C102:C103" si="16">($C$98)*B102/(1-($B$104))</f>
        <v>1046.51</v>
      </c>
      <c r="D102" s="122"/>
      <c r="E102" s="122">
        <f t="shared" ref="E102:E103" si="17">C102*12</f>
        <v>12558.12</v>
      </c>
      <c r="F102" s="122"/>
      <c r="G102" s="59"/>
    </row>
    <row r="103" spans="1:8" ht="12.75" x14ac:dyDescent="0.25">
      <c r="A103" s="54" t="s">
        <v>98</v>
      </c>
      <c r="B103" s="57">
        <v>0.05</v>
      </c>
      <c r="C103" s="122">
        <f t="shared" si="16"/>
        <v>3171.23</v>
      </c>
      <c r="D103" s="122"/>
      <c r="E103" s="122">
        <f t="shared" si="17"/>
        <v>38054.76</v>
      </c>
      <c r="F103" s="122"/>
      <c r="G103" s="59"/>
    </row>
    <row r="104" spans="1:8" x14ac:dyDescent="0.25">
      <c r="A104" s="55" t="s">
        <v>96</v>
      </c>
      <c r="B104" s="56">
        <f>SUM(B101:B103)</f>
        <v>0.14249999999999999</v>
      </c>
      <c r="C104" s="122">
        <f>SUM(C101:D103)</f>
        <v>9038.01</v>
      </c>
      <c r="D104" s="122"/>
      <c r="E104" s="123">
        <f>SUM(E101:F103)</f>
        <v>108456.12</v>
      </c>
      <c r="F104" s="124"/>
    </row>
    <row r="105" spans="1:8" x14ac:dyDescent="0.25">
      <c r="A105" s="125" t="s">
        <v>85</v>
      </c>
      <c r="B105" s="125"/>
      <c r="C105" s="126">
        <f>C93+C96+C104</f>
        <v>13979.42</v>
      </c>
      <c r="D105" s="126"/>
      <c r="E105" s="126">
        <f>C105*12</f>
        <v>167753.04</v>
      </c>
      <c r="F105" s="126"/>
    </row>
    <row r="106" spans="1:8" x14ac:dyDescent="0.25">
      <c r="A106" s="108"/>
      <c r="B106" s="109"/>
      <c r="C106" s="109"/>
      <c r="D106" s="109"/>
      <c r="E106" s="109"/>
      <c r="F106" s="110"/>
    </row>
    <row r="107" spans="1:8" ht="14.45" customHeight="1" x14ac:dyDescent="0.25">
      <c r="A107" s="111" t="s">
        <v>101</v>
      </c>
      <c r="B107" s="114" t="s">
        <v>20</v>
      </c>
      <c r="C107" s="114"/>
      <c r="D107" s="115" t="s">
        <v>7</v>
      </c>
      <c r="E107" s="116"/>
      <c r="F107" s="117"/>
    </row>
    <row r="108" spans="1:8" x14ac:dyDescent="0.25">
      <c r="A108" s="112"/>
      <c r="B108" s="47" t="s">
        <v>12</v>
      </c>
      <c r="C108" s="77">
        <f>C39</f>
        <v>39833.120000000003</v>
      </c>
      <c r="D108" s="47" t="s">
        <v>12</v>
      </c>
      <c r="E108" s="118">
        <f>D39</f>
        <v>477997.44</v>
      </c>
      <c r="F108" s="119"/>
      <c r="G108" s="64"/>
      <c r="H108" s="65"/>
    </row>
    <row r="109" spans="1:8" x14ac:dyDescent="0.25">
      <c r="A109" s="112"/>
      <c r="B109" s="47" t="s">
        <v>13</v>
      </c>
      <c r="C109" s="48">
        <f>C58</f>
        <v>2393.11</v>
      </c>
      <c r="D109" s="47" t="s">
        <v>13</v>
      </c>
      <c r="E109" s="118">
        <f>D58</f>
        <v>28717.32</v>
      </c>
      <c r="F109" s="119"/>
      <c r="G109" s="64"/>
      <c r="H109" s="65"/>
    </row>
    <row r="110" spans="1:8" x14ac:dyDescent="0.25">
      <c r="A110" s="112"/>
      <c r="B110" s="47" t="s">
        <v>14</v>
      </c>
      <c r="C110" s="48">
        <f>C82</f>
        <v>1788.94</v>
      </c>
      <c r="D110" s="47" t="s">
        <v>14</v>
      </c>
      <c r="E110" s="118">
        <f>E82</f>
        <v>21467.279999999999</v>
      </c>
      <c r="F110" s="119"/>
      <c r="G110" s="64"/>
      <c r="H110" s="65"/>
    </row>
    <row r="111" spans="1:8" x14ac:dyDescent="0.25">
      <c r="A111" s="112"/>
      <c r="B111" s="47" t="s">
        <v>15</v>
      </c>
      <c r="C111" s="48">
        <f>C87</f>
        <v>5430</v>
      </c>
      <c r="D111" s="47" t="s">
        <v>15</v>
      </c>
      <c r="E111" s="118">
        <f>E87</f>
        <v>65160</v>
      </c>
      <c r="F111" s="119"/>
      <c r="G111" s="64"/>
      <c r="H111" s="65"/>
    </row>
    <row r="112" spans="1:8" x14ac:dyDescent="0.25">
      <c r="A112" s="112"/>
      <c r="B112" s="47" t="s">
        <v>86</v>
      </c>
      <c r="C112" s="48">
        <f>C105</f>
        <v>13979.42</v>
      </c>
      <c r="D112" s="47" t="s">
        <v>86</v>
      </c>
      <c r="E112" s="118">
        <f>E105</f>
        <v>167753.04</v>
      </c>
      <c r="F112" s="119"/>
      <c r="G112" s="64"/>
      <c r="H112" s="65"/>
    </row>
    <row r="113" spans="1:11" x14ac:dyDescent="0.25">
      <c r="A113" s="113"/>
      <c r="B113" s="46" t="s">
        <v>44</v>
      </c>
      <c r="C113" s="49">
        <f>SUM(C108:C112)</f>
        <v>63424.59</v>
      </c>
      <c r="D113" s="46" t="s">
        <v>87</v>
      </c>
      <c r="E113" s="120">
        <f>SUM(E108:E112)</f>
        <v>761095.08</v>
      </c>
      <c r="F113" s="121"/>
    </row>
    <row r="114" spans="1:11" ht="14.45" hidden="1" customHeight="1" x14ac:dyDescent="0.25">
      <c r="A114" s="107" t="s">
        <v>16</v>
      </c>
      <c r="B114" s="107"/>
      <c r="C114" s="107" t="s">
        <v>17</v>
      </c>
      <c r="D114" s="107"/>
      <c r="E114" s="107"/>
      <c r="F114" s="107"/>
    </row>
    <row r="115" spans="1:11" hidden="1" x14ac:dyDescent="0.25">
      <c r="A115" s="107"/>
      <c r="B115" s="107"/>
      <c r="C115" s="107"/>
      <c r="D115" s="107"/>
      <c r="E115" s="107"/>
      <c r="F115" s="107"/>
    </row>
    <row r="116" spans="1:11" ht="12" hidden="1" customHeight="1" x14ac:dyDescent="0.25">
      <c r="A116" s="107"/>
      <c r="B116" s="107"/>
      <c r="C116" s="107"/>
      <c r="D116" s="107"/>
      <c r="E116" s="107"/>
      <c r="F116" s="107"/>
    </row>
    <row r="117" spans="1:11" x14ac:dyDescent="0.25">
      <c r="K117" s="17"/>
    </row>
  </sheetData>
  <mergeCells count="61">
    <mergeCell ref="A7:E7"/>
    <mergeCell ref="A1:G1"/>
    <mergeCell ref="A2:G2"/>
    <mergeCell ref="A3:G3"/>
    <mergeCell ref="A8:D8"/>
    <mergeCell ref="A58:B58"/>
    <mergeCell ref="A60:F60"/>
    <mergeCell ref="E73:F73"/>
    <mergeCell ref="A74:F74"/>
    <mergeCell ref="E81:F81"/>
    <mergeCell ref="A39:B39"/>
    <mergeCell ref="A94:B95"/>
    <mergeCell ref="C94:D95"/>
    <mergeCell ref="E94:F95"/>
    <mergeCell ref="A83:F83"/>
    <mergeCell ref="A84:F84"/>
    <mergeCell ref="E87:F87"/>
    <mergeCell ref="A88:F88"/>
    <mergeCell ref="A89:F89"/>
    <mergeCell ref="A90:B90"/>
    <mergeCell ref="C90:D90"/>
    <mergeCell ref="E90:F90"/>
    <mergeCell ref="A91:B92"/>
    <mergeCell ref="C91:D92"/>
    <mergeCell ref="E82:F82"/>
    <mergeCell ref="A41:D41"/>
    <mergeCell ref="E91:F92"/>
    <mergeCell ref="C93:D93"/>
    <mergeCell ref="E93:F93"/>
    <mergeCell ref="C102:D102"/>
    <mergeCell ref="E102:F102"/>
    <mergeCell ref="C96:D96"/>
    <mergeCell ref="E96:F96"/>
    <mergeCell ref="A97:D97"/>
    <mergeCell ref="A98:B98"/>
    <mergeCell ref="C98:D98"/>
    <mergeCell ref="E98:F98"/>
    <mergeCell ref="A99:F99"/>
    <mergeCell ref="C100:D100"/>
    <mergeCell ref="E100:F100"/>
    <mergeCell ref="C101:D101"/>
    <mergeCell ref="E101:F101"/>
    <mergeCell ref="C103:D103"/>
    <mergeCell ref="E103:F103"/>
    <mergeCell ref="C104:D104"/>
    <mergeCell ref="E104:F104"/>
    <mergeCell ref="A105:B105"/>
    <mergeCell ref="C105:D105"/>
    <mergeCell ref="E105:F105"/>
    <mergeCell ref="A114:B116"/>
    <mergeCell ref="C114:F116"/>
    <mergeCell ref="A106:F106"/>
    <mergeCell ref="A107:A113"/>
    <mergeCell ref="B107:C107"/>
    <mergeCell ref="D107:F107"/>
    <mergeCell ref="E108:F108"/>
    <mergeCell ref="E109:F109"/>
    <mergeCell ref="E110:F110"/>
    <mergeCell ref="E111:F111"/>
    <mergeCell ref="E112:F112"/>
    <mergeCell ref="E113:F113"/>
  </mergeCells>
  <pageMargins left="0.25" right="0.25" top="0.75" bottom="0.75" header="0.3" footer="0.3"/>
  <pageSetup paperSize="9" scale="42" orientation="portrait" r:id="rId1"/>
  <ignoredErrors>
    <ignoredError sqref="E78:F78 C6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EF59-3EBF-498C-AD9B-00C8B0B4FA88}">
  <sheetPr>
    <pageSetUpPr fitToPage="1"/>
  </sheetPr>
  <dimension ref="A1:P64"/>
  <sheetViews>
    <sheetView workbookViewId="0">
      <selection activeCell="A5" sqref="A5"/>
    </sheetView>
  </sheetViews>
  <sheetFormatPr defaultColWidth="8.85546875" defaultRowHeight="12" x14ac:dyDescent="0.25"/>
  <cols>
    <col min="1" max="1" width="37.7109375" style="1" customWidth="1"/>
    <col min="2" max="2" width="12" style="1" customWidth="1"/>
    <col min="3" max="3" width="8.140625" style="1" customWidth="1"/>
    <col min="4" max="4" width="9.42578125" style="1" customWidth="1"/>
    <col min="5" max="5" width="13.140625" style="1" customWidth="1"/>
    <col min="6" max="6" width="5.7109375" style="1" customWidth="1"/>
    <col min="7" max="7" width="9.42578125" style="1" customWidth="1"/>
    <col min="8" max="9" width="9.140625" style="1" bestFit="1" customWidth="1"/>
    <col min="10" max="12" width="8.85546875" style="1"/>
    <col min="13" max="13" width="10" style="1" bestFit="1" customWidth="1"/>
    <col min="14" max="16384" width="8.85546875" style="1"/>
  </cols>
  <sheetData>
    <row r="1" spans="1:13" ht="6" customHeight="1" x14ac:dyDescent="0.25">
      <c r="A1" s="163" t="s">
        <v>182</v>
      </c>
      <c r="B1" s="163"/>
      <c r="C1" s="163"/>
      <c r="D1" s="163"/>
      <c r="E1" s="163"/>
      <c r="F1" s="163"/>
      <c r="G1" s="163"/>
    </row>
    <row r="2" spans="1:13" ht="12" customHeight="1" x14ac:dyDescent="0.25">
      <c r="A2" s="163"/>
      <c r="B2" s="163"/>
      <c r="C2" s="163"/>
      <c r="D2" s="163"/>
      <c r="E2" s="163"/>
      <c r="F2" s="163"/>
      <c r="G2" s="163"/>
    </row>
    <row r="3" spans="1:13" x14ac:dyDescent="0.25">
      <c r="A3" s="163" t="s">
        <v>58</v>
      </c>
      <c r="B3" s="163"/>
      <c r="C3" s="163"/>
      <c r="D3" s="163"/>
      <c r="E3" s="163"/>
      <c r="F3" s="163"/>
      <c r="G3" s="163"/>
    </row>
    <row r="4" spans="1:13" ht="24" customHeight="1" x14ac:dyDescent="0.25">
      <c r="A4" s="161" t="s">
        <v>19</v>
      </c>
      <c r="B4" s="161"/>
      <c r="C4" s="161"/>
      <c r="D4" s="161"/>
      <c r="E4" s="161"/>
      <c r="F4" s="161"/>
      <c r="G4" s="161"/>
    </row>
    <row r="5" spans="1:13" ht="12.75" x14ac:dyDescent="0.25">
      <c r="A5" s="9" t="s">
        <v>197</v>
      </c>
      <c r="B5" s="175" t="s">
        <v>157</v>
      </c>
      <c r="C5" s="175"/>
      <c r="D5" s="175"/>
      <c r="E5" s="175"/>
      <c r="F5" s="175"/>
      <c r="G5" s="175"/>
    </row>
    <row r="6" spans="1:13" ht="12.75" x14ac:dyDescent="0.25">
      <c r="A6" s="9" t="s">
        <v>168</v>
      </c>
      <c r="B6" s="175" t="s">
        <v>156</v>
      </c>
      <c r="C6" s="175"/>
      <c r="D6" s="175"/>
      <c r="E6" s="175"/>
      <c r="F6" s="175"/>
      <c r="G6" s="175"/>
    </row>
    <row r="7" spans="1:13" ht="14.25" customHeight="1" x14ac:dyDescent="0.25">
      <c r="A7" s="9" t="s">
        <v>195</v>
      </c>
      <c r="B7" s="175" t="s">
        <v>194</v>
      </c>
      <c r="C7" s="175"/>
      <c r="D7" s="175"/>
      <c r="E7" s="175"/>
      <c r="F7" s="175"/>
      <c r="G7" s="175"/>
    </row>
    <row r="8" spans="1:13" x14ac:dyDescent="0.25">
      <c r="A8" s="182"/>
      <c r="B8" s="182"/>
      <c r="C8" s="182"/>
      <c r="D8" s="182"/>
      <c r="E8" s="182"/>
      <c r="F8" s="183"/>
    </row>
    <row r="9" spans="1:13" ht="15.75" customHeight="1" x14ac:dyDescent="0.25">
      <c r="A9" s="161" t="s">
        <v>45</v>
      </c>
      <c r="B9" s="161"/>
      <c r="C9" s="161"/>
      <c r="D9" s="161"/>
      <c r="E9" s="161"/>
      <c r="F9" s="161"/>
      <c r="G9" s="161"/>
    </row>
    <row r="10" spans="1:13" ht="23.25" customHeight="1" x14ac:dyDescent="0.25">
      <c r="A10" s="9" t="s">
        <v>52</v>
      </c>
      <c r="B10" s="169" t="s">
        <v>102</v>
      </c>
      <c r="C10" s="169"/>
      <c r="D10" s="169"/>
      <c r="E10" s="169"/>
      <c r="F10" s="169"/>
      <c r="G10" s="169"/>
      <c r="H10" s="59"/>
      <c r="I10" s="59"/>
      <c r="J10" s="59"/>
      <c r="K10" s="59"/>
      <c r="L10" s="59"/>
      <c r="M10" s="59"/>
    </row>
    <row r="11" spans="1:13" ht="12.75" x14ac:dyDescent="0.25">
      <c r="A11" s="9" t="s">
        <v>53</v>
      </c>
      <c r="B11" s="169" t="s">
        <v>158</v>
      </c>
      <c r="C11" s="169"/>
      <c r="D11" s="169"/>
      <c r="E11" s="169"/>
      <c r="F11" s="169"/>
      <c r="G11" s="169"/>
      <c r="H11" s="59"/>
      <c r="I11" s="59"/>
      <c r="J11" s="59"/>
      <c r="K11" s="59"/>
      <c r="L11" s="59"/>
      <c r="M11" s="59"/>
    </row>
    <row r="12" spans="1:13" ht="12.75" x14ac:dyDescent="0.25">
      <c r="A12" s="9" t="s">
        <v>54</v>
      </c>
      <c r="B12" s="169" t="s">
        <v>103</v>
      </c>
      <c r="C12" s="169"/>
      <c r="D12" s="169"/>
      <c r="E12" s="169"/>
      <c r="F12" s="169"/>
      <c r="G12" s="169"/>
      <c r="H12" s="59"/>
      <c r="I12" s="59"/>
      <c r="J12" s="59"/>
      <c r="K12" s="59"/>
      <c r="L12" s="59"/>
      <c r="M12" s="59"/>
    </row>
    <row r="13" spans="1:13" x14ac:dyDescent="0.25">
      <c r="A13" s="182"/>
      <c r="B13" s="182"/>
      <c r="C13" s="182"/>
      <c r="D13" s="182"/>
      <c r="E13" s="182"/>
      <c r="F13" s="183"/>
    </row>
    <row r="14" spans="1:13" ht="12.75" customHeight="1" x14ac:dyDescent="0.25">
      <c r="A14" s="161" t="s">
        <v>47</v>
      </c>
      <c r="B14" s="161"/>
      <c r="C14" s="161"/>
      <c r="D14" s="161"/>
      <c r="E14" s="161"/>
      <c r="F14" s="161"/>
      <c r="G14" s="161"/>
      <c r="H14" s="59"/>
      <c r="I14" s="59"/>
      <c r="J14" s="59"/>
      <c r="K14" s="59"/>
      <c r="L14" s="59"/>
      <c r="M14" s="59"/>
    </row>
    <row r="15" spans="1:13" ht="12.75" x14ac:dyDescent="0.25">
      <c r="A15" s="9" t="s">
        <v>55</v>
      </c>
      <c r="B15" s="175" t="s">
        <v>111</v>
      </c>
      <c r="C15" s="175"/>
      <c r="D15" s="175"/>
      <c r="E15" s="175"/>
      <c r="F15" s="175"/>
      <c r="G15" s="175"/>
      <c r="H15" s="59"/>
      <c r="I15" s="59"/>
      <c r="J15" s="59"/>
      <c r="K15" s="59"/>
      <c r="L15" s="59"/>
      <c r="M15" s="59"/>
    </row>
    <row r="16" spans="1:13" ht="24" customHeight="1" x14ac:dyDescent="0.25">
      <c r="A16" s="9" t="s">
        <v>104</v>
      </c>
      <c r="B16" s="169" t="s">
        <v>112</v>
      </c>
      <c r="C16" s="169"/>
      <c r="D16" s="169"/>
      <c r="E16" s="169"/>
      <c r="F16" s="169"/>
      <c r="G16" s="169"/>
      <c r="H16" s="59"/>
      <c r="I16" s="59"/>
      <c r="J16" s="59"/>
      <c r="K16" s="59"/>
      <c r="L16" s="59"/>
      <c r="M16" s="59"/>
    </row>
    <row r="17" spans="1:14" ht="43.5" customHeight="1" x14ac:dyDescent="0.25">
      <c r="A17" s="9" t="s">
        <v>105</v>
      </c>
      <c r="B17" s="169" t="s">
        <v>113</v>
      </c>
      <c r="C17" s="169"/>
      <c r="D17" s="169"/>
      <c r="E17" s="169"/>
      <c r="F17" s="169"/>
      <c r="G17" s="169"/>
      <c r="H17" s="59"/>
      <c r="I17" s="59"/>
      <c r="J17" s="59"/>
      <c r="K17" s="59"/>
      <c r="L17" s="59"/>
      <c r="M17" s="59"/>
    </row>
    <row r="18" spans="1:14" ht="12.75" x14ac:dyDescent="0.25">
      <c r="A18" s="9" t="s">
        <v>106</v>
      </c>
      <c r="B18" s="175" t="s">
        <v>114</v>
      </c>
      <c r="C18" s="175"/>
      <c r="D18" s="175"/>
      <c r="E18" s="175"/>
      <c r="F18" s="175"/>
      <c r="G18" s="175"/>
      <c r="H18" s="59"/>
      <c r="I18" s="59"/>
      <c r="J18" s="59"/>
      <c r="K18" s="59"/>
      <c r="L18" s="59"/>
      <c r="M18" s="59"/>
    </row>
    <row r="19" spans="1:14" ht="12.75" x14ac:dyDescent="0.25">
      <c r="A19" s="9" t="s">
        <v>107</v>
      </c>
      <c r="B19" s="175" t="s">
        <v>115</v>
      </c>
      <c r="C19" s="175"/>
      <c r="D19" s="175"/>
      <c r="E19" s="175"/>
      <c r="F19" s="175"/>
      <c r="G19" s="175"/>
      <c r="H19" s="59"/>
      <c r="I19" s="59"/>
      <c r="J19" s="59"/>
      <c r="K19" s="59"/>
      <c r="L19" s="59"/>
      <c r="M19" s="59"/>
    </row>
    <row r="20" spans="1:14" ht="12.75" customHeight="1" x14ac:dyDescent="0.25">
      <c r="A20" s="9" t="s">
        <v>108</v>
      </c>
      <c r="B20" s="175" t="s">
        <v>116</v>
      </c>
      <c r="C20" s="175"/>
      <c r="D20" s="175"/>
      <c r="E20" s="175"/>
      <c r="F20" s="175"/>
      <c r="G20" s="175"/>
      <c r="H20" s="59"/>
      <c r="I20" s="59"/>
      <c r="J20" s="59"/>
      <c r="K20" s="59"/>
      <c r="L20" s="59"/>
      <c r="M20" s="59"/>
    </row>
    <row r="21" spans="1:14" ht="12.75" customHeight="1" x14ac:dyDescent="0.25">
      <c r="A21" s="9" t="s">
        <v>109</v>
      </c>
      <c r="B21" s="175" t="s">
        <v>117</v>
      </c>
      <c r="C21" s="175"/>
      <c r="D21" s="175"/>
      <c r="E21" s="175"/>
      <c r="F21" s="175"/>
      <c r="G21" s="175"/>
      <c r="H21" s="59"/>
      <c r="I21" s="59"/>
      <c r="J21" s="59"/>
      <c r="K21" s="59"/>
      <c r="L21" s="59"/>
      <c r="M21" s="59"/>
    </row>
    <row r="22" spans="1:14" ht="27.75" customHeight="1" x14ac:dyDescent="0.25">
      <c r="A22" s="9" t="s">
        <v>110</v>
      </c>
      <c r="B22" s="169" t="s">
        <v>118</v>
      </c>
      <c r="C22" s="169"/>
      <c r="D22" s="169"/>
      <c r="E22" s="169"/>
      <c r="F22" s="169"/>
      <c r="G22" s="169"/>
      <c r="H22" s="59"/>
      <c r="I22" s="59"/>
      <c r="J22" s="59"/>
      <c r="K22" s="59"/>
      <c r="L22" s="59"/>
      <c r="M22" s="59"/>
    </row>
    <row r="23" spans="1:14" x14ac:dyDescent="0.25">
      <c r="A23" s="184"/>
      <c r="B23" s="182"/>
      <c r="C23" s="182"/>
      <c r="D23" s="182"/>
      <c r="E23" s="182"/>
      <c r="F23" s="183"/>
    </row>
    <row r="24" spans="1:14" x14ac:dyDescent="0.25">
      <c r="A24" s="161" t="s">
        <v>169</v>
      </c>
      <c r="B24" s="161"/>
      <c r="C24" s="161"/>
      <c r="D24" s="161"/>
      <c r="E24" s="161"/>
      <c r="F24" s="161"/>
      <c r="G24" s="161"/>
    </row>
    <row r="25" spans="1:14" ht="63" customHeight="1" x14ac:dyDescent="0.25">
      <c r="A25" s="9" t="s">
        <v>193</v>
      </c>
      <c r="B25" s="177" t="s">
        <v>166</v>
      </c>
      <c r="C25" s="177"/>
      <c r="D25" s="177"/>
      <c r="E25" s="177"/>
      <c r="F25" s="177"/>
      <c r="G25" s="177"/>
    </row>
    <row r="26" spans="1:14" x14ac:dyDescent="0.25">
      <c r="A26" s="31"/>
      <c r="B26" s="31"/>
      <c r="C26" s="31"/>
      <c r="D26" s="31"/>
      <c r="E26" s="31"/>
      <c r="F26" s="31"/>
    </row>
    <row r="27" spans="1:14" ht="21.75" customHeight="1" x14ac:dyDescent="0.25">
      <c r="A27" s="161" t="s">
        <v>170</v>
      </c>
      <c r="B27" s="161"/>
      <c r="C27" s="161"/>
      <c r="D27" s="161"/>
      <c r="E27" s="161"/>
      <c r="F27" s="161"/>
      <c r="G27" s="161"/>
    </row>
    <row r="28" spans="1:14" ht="64.5" customHeight="1" x14ac:dyDescent="0.25">
      <c r="A28" s="9" t="s">
        <v>193</v>
      </c>
      <c r="B28" s="177" t="s">
        <v>166</v>
      </c>
      <c r="C28" s="177"/>
      <c r="D28" s="177"/>
      <c r="E28" s="177"/>
      <c r="F28" s="177"/>
      <c r="G28" s="177"/>
    </row>
    <row r="29" spans="1:14" ht="12.75" x14ac:dyDescent="0.25">
      <c r="A29" s="9" t="s">
        <v>49</v>
      </c>
      <c r="B29" s="177" t="s">
        <v>160</v>
      </c>
      <c r="C29" s="177"/>
      <c r="D29" s="177"/>
      <c r="E29" s="177"/>
      <c r="F29" s="177"/>
      <c r="G29" s="177"/>
      <c r="H29" s="59"/>
      <c r="I29" s="59"/>
      <c r="J29" s="59"/>
      <c r="K29" s="59"/>
      <c r="L29" s="59"/>
      <c r="M29" s="59"/>
      <c r="N29" s="59"/>
    </row>
    <row r="30" spans="1:14" ht="12.75" x14ac:dyDescent="0.25">
      <c r="A30" s="9" t="s">
        <v>57</v>
      </c>
      <c r="B30" s="177" t="s">
        <v>159</v>
      </c>
      <c r="C30" s="177"/>
      <c r="D30" s="177"/>
      <c r="E30" s="177"/>
      <c r="F30" s="177"/>
      <c r="G30" s="177"/>
      <c r="H30" s="59"/>
      <c r="I30" s="59"/>
      <c r="J30" s="59"/>
      <c r="K30" s="59"/>
      <c r="L30" s="59"/>
      <c r="M30" s="59"/>
      <c r="N30" s="59"/>
    </row>
    <row r="31" spans="1:14" ht="12.75" x14ac:dyDescent="0.25">
      <c r="A31" s="9" t="s">
        <v>50</v>
      </c>
      <c r="B31" s="177" t="s">
        <v>162</v>
      </c>
      <c r="C31" s="177"/>
      <c r="D31" s="177"/>
      <c r="E31" s="177"/>
      <c r="F31" s="177"/>
      <c r="G31" s="177"/>
      <c r="H31" s="59"/>
      <c r="I31" s="59"/>
      <c r="J31" s="59"/>
      <c r="K31" s="59"/>
      <c r="L31" s="59"/>
      <c r="M31" s="59"/>
      <c r="N31" s="59"/>
    </row>
    <row r="32" spans="1:14" ht="12.75" x14ac:dyDescent="0.25">
      <c r="A32" s="9" t="s">
        <v>51</v>
      </c>
      <c r="B32" s="177" t="s">
        <v>163</v>
      </c>
      <c r="C32" s="177"/>
      <c r="D32" s="177"/>
      <c r="E32" s="177"/>
      <c r="F32" s="177"/>
      <c r="G32" s="177"/>
      <c r="H32" s="59"/>
      <c r="I32" s="59"/>
      <c r="J32" s="59"/>
      <c r="K32" s="59"/>
      <c r="L32" s="59"/>
      <c r="M32" s="59"/>
      <c r="N32" s="59"/>
    </row>
    <row r="33" spans="1:16" ht="12.75" x14ac:dyDescent="0.25">
      <c r="A33" s="70" t="s">
        <v>164</v>
      </c>
      <c r="B33" s="177" t="s">
        <v>165</v>
      </c>
      <c r="C33" s="177"/>
      <c r="D33" s="177"/>
      <c r="E33" s="177"/>
      <c r="F33" s="177"/>
      <c r="G33" s="177"/>
      <c r="H33" s="58"/>
      <c r="I33" s="58"/>
      <c r="J33" s="58"/>
      <c r="K33" s="58"/>
      <c r="L33" s="58"/>
      <c r="M33" s="58"/>
      <c r="N33" s="58"/>
      <c r="O33" s="58"/>
      <c r="P33" s="58"/>
    </row>
    <row r="34" spans="1:16" ht="12.75" x14ac:dyDescent="0.25">
      <c r="A34" s="9" t="s">
        <v>136</v>
      </c>
      <c r="B34" s="177" t="s">
        <v>161</v>
      </c>
      <c r="C34" s="177"/>
      <c r="D34" s="177"/>
      <c r="E34" s="177"/>
      <c r="F34" s="177"/>
      <c r="G34" s="177"/>
      <c r="H34" s="58"/>
      <c r="I34" s="58"/>
      <c r="J34" s="58"/>
      <c r="K34" s="58"/>
      <c r="L34" s="58"/>
      <c r="M34" s="58"/>
      <c r="N34" s="58"/>
      <c r="O34" s="58"/>
      <c r="P34" s="58"/>
    </row>
    <row r="35" spans="1:16" x14ac:dyDescent="0.25">
      <c r="A35" s="172"/>
      <c r="B35" s="172"/>
      <c r="C35" s="172"/>
      <c r="D35" s="172"/>
      <c r="E35" s="172"/>
      <c r="F35" s="172"/>
    </row>
    <row r="36" spans="1:16" ht="12" customHeight="1" x14ac:dyDescent="0.25">
      <c r="A36" s="148" t="s">
        <v>67</v>
      </c>
      <c r="B36" s="148"/>
      <c r="C36" s="148"/>
      <c r="D36" s="148"/>
      <c r="E36" s="148"/>
      <c r="F36" s="148"/>
      <c r="G36" s="148"/>
    </row>
    <row r="37" spans="1:16" x14ac:dyDescent="0.25">
      <c r="A37" s="178" t="s">
        <v>66</v>
      </c>
      <c r="B37" s="179"/>
      <c r="C37" s="179"/>
      <c r="D37" s="179"/>
      <c r="E37" s="179"/>
      <c r="F37" s="179"/>
      <c r="G37" s="179"/>
    </row>
    <row r="38" spans="1:16" ht="24.75" customHeight="1" x14ac:dyDescent="0.25">
      <c r="A38" s="29" t="s">
        <v>59</v>
      </c>
      <c r="B38" s="169" t="s">
        <v>119</v>
      </c>
      <c r="C38" s="169"/>
      <c r="D38" s="169"/>
      <c r="E38" s="169"/>
      <c r="F38" s="169"/>
      <c r="G38" s="169"/>
    </row>
    <row r="39" spans="1:16" ht="24" customHeight="1" x14ac:dyDescent="0.25">
      <c r="A39" s="29" t="s">
        <v>60</v>
      </c>
      <c r="B39" s="175" t="s">
        <v>120</v>
      </c>
      <c r="C39" s="175"/>
      <c r="D39" s="175"/>
      <c r="E39" s="175"/>
      <c r="F39" s="175"/>
      <c r="G39" s="175"/>
    </row>
    <row r="40" spans="1:16" ht="12.75" x14ac:dyDescent="0.25">
      <c r="A40" s="29" t="s">
        <v>61</v>
      </c>
      <c r="B40" s="175" t="s">
        <v>121</v>
      </c>
      <c r="C40" s="175"/>
      <c r="D40" s="175"/>
      <c r="E40" s="175"/>
      <c r="F40" s="175"/>
      <c r="G40" s="175"/>
    </row>
    <row r="41" spans="1:16" ht="12.75" x14ac:dyDescent="0.25">
      <c r="A41" s="29" t="s">
        <v>62</v>
      </c>
      <c r="B41" s="175" t="s">
        <v>122</v>
      </c>
      <c r="C41" s="175"/>
      <c r="D41" s="175"/>
      <c r="E41" s="175"/>
      <c r="F41" s="175"/>
      <c r="G41" s="175"/>
    </row>
    <row r="42" spans="1:16" ht="19.5" customHeight="1" x14ac:dyDescent="0.25">
      <c r="A42" s="29" t="s">
        <v>63</v>
      </c>
      <c r="B42" s="175" t="s">
        <v>123</v>
      </c>
      <c r="C42" s="175"/>
      <c r="D42" s="175"/>
      <c r="E42" s="175"/>
      <c r="F42" s="175"/>
      <c r="G42" s="175"/>
    </row>
    <row r="43" spans="1:16" ht="25.5" customHeight="1" x14ac:dyDescent="0.25">
      <c r="A43" s="29" t="s">
        <v>64</v>
      </c>
      <c r="B43" s="169" t="s">
        <v>124</v>
      </c>
      <c r="C43" s="169"/>
      <c r="D43" s="169"/>
      <c r="E43" s="169"/>
      <c r="F43" s="169"/>
      <c r="G43" s="169"/>
    </row>
    <row r="44" spans="1:16" s="31" customFormat="1" ht="15.75" customHeight="1" x14ac:dyDescent="0.25">
      <c r="A44" s="170"/>
      <c r="B44" s="171"/>
      <c r="C44" s="171"/>
      <c r="D44" s="171"/>
      <c r="E44" s="172"/>
      <c r="F44" s="172"/>
    </row>
    <row r="45" spans="1:16" ht="14.25" customHeight="1" x14ac:dyDescent="0.25">
      <c r="A45" s="176" t="s">
        <v>68</v>
      </c>
      <c r="B45" s="176"/>
      <c r="C45" s="176"/>
      <c r="D45" s="176"/>
      <c r="E45" s="176"/>
      <c r="F45" s="176"/>
      <c r="G45" s="176"/>
    </row>
    <row r="46" spans="1:16" ht="12.75" x14ac:dyDescent="0.25">
      <c r="A46" s="29" t="s">
        <v>69</v>
      </c>
      <c r="B46" s="175" t="s">
        <v>125</v>
      </c>
      <c r="C46" s="175"/>
      <c r="D46" s="175"/>
      <c r="E46" s="175"/>
      <c r="F46" s="175"/>
      <c r="G46" s="175"/>
      <c r="H46" s="59"/>
      <c r="I46" s="59"/>
      <c r="J46" s="59"/>
      <c r="K46" s="59"/>
      <c r="L46" s="59"/>
      <c r="M46" s="59"/>
      <c r="N46" s="59"/>
    </row>
    <row r="47" spans="1:16" ht="25.5" customHeight="1" x14ac:dyDescent="0.25">
      <c r="A47" s="29" t="s">
        <v>70</v>
      </c>
      <c r="B47" s="175" t="s">
        <v>126</v>
      </c>
      <c r="C47" s="175"/>
      <c r="D47" s="175"/>
      <c r="E47" s="175"/>
      <c r="F47" s="175"/>
      <c r="G47" s="175"/>
      <c r="H47" s="59"/>
      <c r="I47" s="59"/>
      <c r="J47" s="59"/>
      <c r="K47" s="59"/>
      <c r="L47" s="59"/>
      <c r="M47" s="59"/>
      <c r="N47" s="59"/>
    </row>
    <row r="48" spans="1:16" ht="24" x14ac:dyDescent="0.25">
      <c r="A48" s="29" t="s">
        <v>71</v>
      </c>
      <c r="B48" s="175" t="s">
        <v>127</v>
      </c>
      <c r="C48" s="175"/>
      <c r="D48" s="175"/>
      <c r="E48" s="175"/>
      <c r="F48" s="175"/>
      <c r="G48" s="175"/>
      <c r="H48" s="59"/>
      <c r="I48" s="59"/>
      <c r="J48" s="59"/>
      <c r="K48" s="59"/>
      <c r="L48" s="59"/>
      <c r="M48" s="59"/>
      <c r="N48" s="59"/>
    </row>
    <row r="49" spans="1:14" ht="24" x14ac:dyDescent="0.25">
      <c r="A49" s="29" t="s">
        <v>72</v>
      </c>
      <c r="B49" s="175" t="s">
        <v>126</v>
      </c>
      <c r="C49" s="175"/>
      <c r="D49" s="175"/>
      <c r="E49" s="175"/>
      <c r="F49" s="175"/>
      <c r="G49" s="175"/>
      <c r="H49" s="59"/>
      <c r="I49" s="59"/>
      <c r="J49" s="59"/>
      <c r="K49" s="59"/>
      <c r="L49" s="59"/>
      <c r="M49" s="59"/>
      <c r="N49" s="59"/>
    </row>
    <row r="50" spans="1:14" ht="24" x14ac:dyDescent="0.25">
      <c r="A50" s="29" t="s">
        <v>73</v>
      </c>
      <c r="B50" s="175" t="s">
        <v>128</v>
      </c>
      <c r="C50" s="175"/>
      <c r="D50" s="175"/>
      <c r="E50" s="175"/>
      <c r="F50" s="175"/>
      <c r="G50" s="175"/>
      <c r="H50" s="59"/>
      <c r="I50" s="59"/>
      <c r="J50" s="59"/>
      <c r="K50" s="59"/>
      <c r="L50" s="59"/>
      <c r="M50" s="59"/>
      <c r="N50" s="59"/>
    </row>
    <row r="51" spans="1:14" x14ac:dyDescent="0.25">
      <c r="A51" s="181"/>
      <c r="B51" s="172"/>
      <c r="C51" s="172"/>
      <c r="D51" s="172"/>
      <c r="E51" s="172"/>
      <c r="F51" s="172"/>
    </row>
    <row r="52" spans="1:14" ht="14.45" customHeight="1" x14ac:dyDescent="0.25">
      <c r="A52" s="173" t="s">
        <v>77</v>
      </c>
      <c r="B52" s="173"/>
      <c r="C52" s="173"/>
      <c r="D52" s="173"/>
      <c r="E52" s="173"/>
      <c r="F52" s="173"/>
      <c r="G52" s="173"/>
    </row>
    <row r="53" spans="1:14" x14ac:dyDescent="0.25">
      <c r="A53" s="174" t="s">
        <v>129</v>
      </c>
      <c r="B53" s="174"/>
      <c r="C53" s="174"/>
      <c r="D53" s="174"/>
      <c r="E53" s="174"/>
      <c r="F53" s="174"/>
      <c r="G53" s="174"/>
    </row>
    <row r="54" spans="1:14" x14ac:dyDescent="0.25">
      <c r="A54" s="172"/>
      <c r="B54" s="172"/>
      <c r="C54" s="172"/>
      <c r="D54" s="172"/>
      <c r="E54" s="172"/>
      <c r="F54" s="172"/>
    </row>
    <row r="55" spans="1:14" ht="14.45" customHeight="1" x14ac:dyDescent="0.25">
      <c r="A55" s="138" t="s">
        <v>82</v>
      </c>
      <c r="B55" s="138"/>
      <c r="C55" s="138"/>
      <c r="D55" s="138"/>
      <c r="E55" s="138"/>
      <c r="F55" s="138"/>
      <c r="G55" s="138"/>
    </row>
    <row r="56" spans="1:14" x14ac:dyDescent="0.25">
      <c r="A56" s="174" t="s">
        <v>129</v>
      </c>
      <c r="B56" s="174"/>
      <c r="C56" s="174"/>
      <c r="D56" s="174"/>
      <c r="E56" s="174"/>
      <c r="F56" s="174"/>
      <c r="G56" s="174"/>
    </row>
    <row r="57" spans="1:14" x14ac:dyDescent="0.25">
      <c r="A57" s="90"/>
      <c r="B57" s="90"/>
      <c r="C57" s="90"/>
      <c r="D57" s="90"/>
      <c r="E57" s="90"/>
      <c r="F57" s="90"/>
    </row>
    <row r="58" spans="1:14" ht="12.75" customHeight="1" x14ac:dyDescent="0.25">
      <c r="A58" s="180" t="s">
        <v>84</v>
      </c>
      <c r="B58" s="180"/>
      <c r="C58" s="180"/>
      <c r="D58" s="180"/>
      <c r="E58" s="180"/>
      <c r="F58" s="180"/>
      <c r="G58" s="180"/>
    </row>
    <row r="59" spans="1:14" ht="26.25" customHeight="1" x14ac:dyDescent="0.25">
      <c r="A59" s="50" t="s">
        <v>97</v>
      </c>
      <c r="B59" s="169" t="s">
        <v>135</v>
      </c>
      <c r="C59" s="169"/>
      <c r="D59" s="169"/>
      <c r="E59" s="169"/>
      <c r="F59" s="169"/>
      <c r="G59" s="169"/>
    </row>
    <row r="60" spans="1:14" ht="12.75" x14ac:dyDescent="0.25">
      <c r="A60" s="50" t="s">
        <v>89</v>
      </c>
      <c r="B60" s="175" t="s">
        <v>130</v>
      </c>
      <c r="C60" s="175"/>
      <c r="D60" s="175"/>
      <c r="E60" s="175"/>
      <c r="F60" s="175"/>
      <c r="G60" s="175"/>
    </row>
    <row r="61" spans="1:14" ht="12.75" x14ac:dyDescent="0.25">
      <c r="A61" s="53" t="s">
        <v>93</v>
      </c>
      <c r="B61" s="175" t="s">
        <v>131</v>
      </c>
      <c r="C61" s="175"/>
      <c r="D61" s="175"/>
      <c r="E61" s="175"/>
      <c r="F61" s="175"/>
      <c r="G61" s="175"/>
    </row>
    <row r="62" spans="1:14" ht="12.75" x14ac:dyDescent="0.25">
      <c r="A62" s="54" t="s">
        <v>94</v>
      </c>
      <c r="B62" s="175" t="s">
        <v>132</v>
      </c>
      <c r="C62" s="175"/>
      <c r="D62" s="175"/>
      <c r="E62" s="175"/>
      <c r="F62" s="175"/>
      <c r="G62" s="175"/>
    </row>
    <row r="63" spans="1:14" ht="12.75" x14ac:dyDescent="0.25">
      <c r="A63" s="54" t="s">
        <v>95</v>
      </c>
      <c r="B63" s="175" t="s">
        <v>133</v>
      </c>
      <c r="C63" s="175"/>
      <c r="D63" s="175"/>
      <c r="E63" s="175"/>
      <c r="F63" s="175"/>
      <c r="G63" s="175"/>
    </row>
    <row r="64" spans="1:14" ht="12.75" x14ac:dyDescent="0.25">
      <c r="A64" s="54" t="s">
        <v>98</v>
      </c>
      <c r="B64" s="175" t="s">
        <v>134</v>
      </c>
      <c r="C64" s="175"/>
      <c r="D64" s="175"/>
      <c r="E64" s="175"/>
      <c r="F64" s="175"/>
      <c r="G64" s="175"/>
    </row>
  </sheetData>
  <mergeCells count="61">
    <mergeCell ref="B64:G64"/>
    <mergeCell ref="B59:G59"/>
    <mergeCell ref="B60:G60"/>
    <mergeCell ref="B61:G61"/>
    <mergeCell ref="B62:G62"/>
    <mergeCell ref="B63:G63"/>
    <mergeCell ref="B16:G16"/>
    <mergeCell ref="B17:G17"/>
    <mergeCell ref="B19:G19"/>
    <mergeCell ref="A23:F23"/>
    <mergeCell ref="A35:F35"/>
    <mergeCell ref="A24:G24"/>
    <mergeCell ref="B25:G25"/>
    <mergeCell ref="A27:G27"/>
    <mergeCell ref="B28:G28"/>
    <mergeCell ref="B29:G29"/>
    <mergeCell ref="B30:G30"/>
    <mergeCell ref="B31:G31"/>
    <mergeCell ref="B32:G32"/>
    <mergeCell ref="B33:G33"/>
    <mergeCell ref="B20:G20"/>
    <mergeCell ref="B21:G21"/>
    <mergeCell ref="A4:G4"/>
    <mergeCell ref="A14:G14"/>
    <mergeCell ref="B15:G15"/>
    <mergeCell ref="A3:G3"/>
    <mergeCell ref="A8:F8"/>
    <mergeCell ref="A13:F13"/>
    <mergeCell ref="B10:G10"/>
    <mergeCell ref="B11:G11"/>
    <mergeCell ref="B12:G12"/>
    <mergeCell ref="A9:G9"/>
    <mergeCell ref="B6:G6"/>
    <mergeCell ref="B5:G5"/>
    <mergeCell ref="B7:G7"/>
    <mergeCell ref="A58:G58"/>
    <mergeCell ref="B46:G46"/>
    <mergeCell ref="B47:G47"/>
    <mergeCell ref="B48:G48"/>
    <mergeCell ref="B49:G49"/>
    <mergeCell ref="B50:G50"/>
    <mergeCell ref="A51:F51"/>
    <mergeCell ref="A54:F54"/>
    <mergeCell ref="A55:G55"/>
    <mergeCell ref="A56:G56"/>
    <mergeCell ref="B22:G22"/>
    <mergeCell ref="A44:F44"/>
    <mergeCell ref="A1:G2"/>
    <mergeCell ref="A52:G52"/>
    <mergeCell ref="A53:G53"/>
    <mergeCell ref="B40:G40"/>
    <mergeCell ref="B41:G41"/>
    <mergeCell ref="B42:G42"/>
    <mergeCell ref="B43:G43"/>
    <mergeCell ref="A45:G45"/>
    <mergeCell ref="B34:G34"/>
    <mergeCell ref="A36:G36"/>
    <mergeCell ref="A37:G37"/>
    <mergeCell ref="B38:G38"/>
    <mergeCell ref="B39:G39"/>
    <mergeCell ref="B18:G18"/>
  </mergeCells>
  <pageMargins left="0.25" right="0.25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9C3F1-FBC5-4547-ADDF-D3C33CC09CEC}">
  <sheetPr>
    <pageSetUpPr fitToPage="1"/>
  </sheetPr>
  <dimension ref="A1:H32"/>
  <sheetViews>
    <sheetView tabSelected="1" workbookViewId="0">
      <selection activeCell="F4" sqref="F4:H6"/>
    </sheetView>
  </sheetViews>
  <sheetFormatPr defaultRowHeight="15" x14ac:dyDescent="0.25"/>
  <cols>
    <col min="1" max="1" width="46.140625" customWidth="1"/>
    <col min="2" max="2" width="15.7109375" customWidth="1"/>
    <col min="3" max="3" width="17.5703125" customWidth="1"/>
    <col min="4" max="4" width="17.42578125" customWidth="1"/>
    <col min="5" max="5" width="18.7109375" customWidth="1"/>
    <col min="8" max="8" width="74.140625" customWidth="1"/>
  </cols>
  <sheetData>
    <row r="1" spans="1:8" x14ac:dyDescent="0.25">
      <c r="A1" s="186" t="s">
        <v>181</v>
      </c>
      <c r="B1" s="187"/>
      <c r="C1" s="187"/>
      <c r="D1" s="187"/>
      <c r="E1" s="187"/>
      <c r="F1" s="187"/>
      <c r="G1" s="187"/>
      <c r="H1" s="188"/>
    </row>
    <row r="2" spans="1:8" x14ac:dyDescent="0.25">
      <c r="A2" s="189"/>
      <c r="B2" s="190"/>
      <c r="C2" s="190"/>
      <c r="D2" s="190"/>
      <c r="E2" s="190"/>
      <c r="F2" s="190"/>
      <c r="G2" s="190"/>
      <c r="H2" s="191"/>
    </row>
    <row r="4" spans="1:8" ht="15.75" x14ac:dyDescent="0.25">
      <c r="A4" s="192" t="s">
        <v>147</v>
      </c>
      <c r="B4" s="24" t="s">
        <v>39</v>
      </c>
      <c r="C4" s="23" t="s">
        <v>37</v>
      </c>
      <c r="D4" s="23" t="s">
        <v>38</v>
      </c>
      <c r="E4" s="23" t="s">
        <v>40</v>
      </c>
      <c r="F4" s="195" t="s">
        <v>167</v>
      </c>
      <c r="G4" s="196"/>
      <c r="H4" s="197"/>
    </row>
    <row r="5" spans="1:8" ht="10.5" customHeight="1" x14ac:dyDescent="0.25">
      <c r="A5" s="192"/>
      <c r="B5" s="192">
        <v>1</v>
      </c>
      <c r="C5" s="193">
        <f>AVERAGE(150000,179850,135000)</f>
        <v>154950</v>
      </c>
      <c r="D5" s="193">
        <f>C5*B5</f>
        <v>154950</v>
      </c>
      <c r="E5" s="192">
        <f>(20*5)*5</f>
        <v>500</v>
      </c>
      <c r="F5" s="198"/>
      <c r="G5" s="199"/>
      <c r="H5" s="200"/>
    </row>
    <row r="6" spans="1:8" ht="10.5" customHeight="1" x14ac:dyDescent="0.25">
      <c r="A6" s="192"/>
      <c r="B6" s="192"/>
      <c r="C6" s="193"/>
      <c r="D6" s="193"/>
      <c r="E6" s="192"/>
      <c r="F6" s="201"/>
      <c r="G6" s="202"/>
      <c r="H6" s="203"/>
    </row>
    <row r="7" spans="1:8" s="79" customFormat="1" ht="17.25" customHeight="1" x14ac:dyDescent="0.25">
      <c r="A7" s="80"/>
      <c r="B7" s="80"/>
      <c r="C7" s="81"/>
      <c r="D7" s="81"/>
      <c r="E7" s="80"/>
      <c r="F7" s="78"/>
      <c r="G7" s="78"/>
      <c r="H7" s="78"/>
    </row>
    <row r="8" spans="1:8" ht="15.75" customHeight="1" x14ac:dyDescent="0.25">
      <c r="A8" s="20" t="s">
        <v>22</v>
      </c>
      <c r="B8" s="20" t="s">
        <v>23</v>
      </c>
      <c r="C8" s="20" t="s">
        <v>24</v>
      </c>
      <c r="D8" s="20" t="s">
        <v>25</v>
      </c>
      <c r="E8" s="20" t="s">
        <v>26</v>
      </c>
      <c r="F8" s="194" t="s">
        <v>27</v>
      </c>
      <c r="G8" s="194"/>
      <c r="H8" s="194"/>
    </row>
    <row r="9" spans="1:8" x14ac:dyDescent="0.25">
      <c r="A9" s="21" t="s">
        <v>28</v>
      </c>
      <c r="B9" s="22">
        <v>6.34</v>
      </c>
      <c r="C9" s="21">
        <v>4</v>
      </c>
      <c r="D9" s="69">
        <f>B9/C9</f>
        <v>1.585</v>
      </c>
      <c r="E9" s="22">
        <f>D9*$E$5</f>
        <v>792.5</v>
      </c>
      <c r="F9" s="207" t="s">
        <v>29</v>
      </c>
      <c r="G9" s="207"/>
      <c r="H9" s="207"/>
    </row>
    <row r="10" spans="1:8" x14ac:dyDescent="0.25">
      <c r="A10" s="21" t="s">
        <v>30</v>
      </c>
      <c r="B10" s="92">
        <f>109.9/20</f>
        <v>5.5</v>
      </c>
      <c r="C10" s="21">
        <v>80</v>
      </c>
      <c r="D10" s="93">
        <f>B10/C10</f>
        <v>6.88E-2</v>
      </c>
      <c r="E10" s="92">
        <f t="shared" ref="E10:E14" si="0">D10*$E$5</f>
        <v>34.4</v>
      </c>
      <c r="F10" s="207" t="s">
        <v>145</v>
      </c>
      <c r="G10" s="207"/>
      <c r="H10" s="207"/>
    </row>
    <row r="11" spans="1:8" x14ac:dyDescent="0.25">
      <c r="A11" s="21" t="s">
        <v>31</v>
      </c>
      <c r="B11" s="92">
        <v>86.21</v>
      </c>
      <c r="C11" s="94">
        <v>10000</v>
      </c>
      <c r="D11" s="93">
        <f>B11/C11</f>
        <v>8.6E-3</v>
      </c>
      <c r="E11" s="92">
        <f t="shared" si="0"/>
        <v>4.3</v>
      </c>
      <c r="F11" s="207" t="s">
        <v>145</v>
      </c>
      <c r="G11" s="207"/>
      <c r="H11" s="207"/>
    </row>
    <row r="12" spans="1:8" x14ac:dyDescent="0.25">
      <c r="A12" s="21" t="s">
        <v>185</v>
      </c>
      <c r="B12" s="95">
        <v>508.05</v>
      </c>
      <c r="C12" s="94">
        <v>85000</v>
      </c>
      <c r="D12" s="93">
        <f>($B$12*4)*($B$5)/$C$12</f>
        <v>2.3900000000000001E-2</v>
      </c>
      <c r="E12" s="92">
        <f t="shared" si="0"/>
        <v>11.95</v>
      </c>
      <c r="F12" s="216" t="s">
        <v>186</v>
      </c>
      <c r="G12" s="217"/>
      <c r="H12" s="218"/>
    </row>
    <row r="13" spans="1:8" x14ac:dyDescent="0.25">
      <c r="A13" s="21" t="s">
        <v>183</v>
      </c>
      <c r="B13" s="95">
        <v>300</v>
      </c>
      <c r="C13" s="94">
        <v>85000</v>
      </c>
      <c r="D13" s="93">
        <f>($B$13*4)*($B$5)*2/$C$13</f>
        <v>2.8199999999999999E-2</v>
      </c>
      <c r="E13" s="92">
        <f t="shared" si="0"/>
        <v>14.1</v>
      </c>
      <c r="F13" s="96" t="s">
        <v>187</v>
      </c>
      <c r="G13" s="97"/>
      <c r="H13" s="98"/>
    </row>
    <row r="14" spans="1:8" x14ac:dyDescent="0.25">
      <c r="A14" s="21" t="s">
        <v>184</v>
      </c>
      <c r="B14" s="95">
        <v>110</v>
      </c>
      <c r="C14" s="94">
        <f>E5</f>
        <v>500</v>
      </c>
      <c r="D14" s="93">
        <f>($B$14*4)*($B$5)/$C$14</f>
        <v>0.88</v>
      </c>
      <c r="E14" s="92">
        <f t="shared" si="0"/>
        <v>440</v>
      </c>
      <c r="F14" s="96" t="s">
        <v>188</v>
      </c>
      <c r="G14" s="97"/>
      <c r="H14" s="98"/>
    </row>
    <row r="15" spans="1:8" x14ac:dyDescent="0.25">
      <c r="A15" s="20" t="s">
        <v>22</v>
      </c>
      <c r="B15" s="208" t="s">
        <v>32</v>
      </c>
      <c r="C15" s="209"/>
      <c r="D15" s="20" t="s">
        <v>25</v>
      </c>
      <c r="E15" s="20" t="s">
        <v>26</v>
      </c>
      <c r="F15" s="204"/>
      <c r="G15" s="205"/>
      <c r="H15" s="206"/>
    </row>
    <row r="16" spans="1:8" x14ac:dyDescent="0.25">
      <c r="A16" s="21" t="s">
        <v>33</v>
      </c>
      <c r="B16" s="210">
        <f>E5</f>
        <v>500</v>
      </c>
      <c r="C16" s="211"/>
      <c r="D16" s="93">
        <f>(($D$5*0.0033)/$B$5)/$E$5</f>
        <v>1.0226999999999999</v>
      </c>
      <c r="E16" s="99">
        <f>D16*$B$16</f>
        <v>511.35</v>
      </c>
      <c r="F16" s="207" t="s">
        <v>189</v>
      </c>
      <c r="G16" s="207"/>
      <c r="H16" s="207"/>
    </row>
    <row r="17" spans="1:8" x14ac:dyDescent="0.25">
      <c r="A17" s="21" t="s">
        <v>192</v>
      </c>
      <c r="B17" s="212"/>
      <c r="C17" s="213"/>
      <c r="D17" s="93">
        <f>(($D$5*12%)/(12)/($B$16))</f>
        <v>3.0990000000000002</v>
      </c>
      <c r="E17" s="99">
        <f t="shared" ref="E17:E20" si="1">D17*$B$16</f>
        <v>1549.5</v>
      </c>
      <c r="F17" s="207" t="s">
        <v>42</v>
      </c>
      <c r="G17" s="207"/>
      <c r="H17" s="207"/>
    </row>
    <row r="18" spans="1:8" x14ac:dyDescent="0.25">
      <c r="A18" s="21" t="s">
        <v>34</v>
      </c>
      <c r="B18" s="212"/>
      <c r="C18" s="213"/>
      <c r="D18" s="93">
        <f>(($D$5*15%)/(12)/($B$16))</f>
        <v>3.8738000000000001</v>
      </c>
      <c r="E18" s="99">
        <f t="shared" si="1"/>
        <v>1936.9</v>
      </c>
      <c r="F18" s="207" t="s">
        <v>146</v>
      </c>
      <c r="G18" s="207"/>
      <c r="H18" s="207"/>
    </row>
    <row r="19" spans="1:8" x14ac:dyDescent="0.25">
      <c r="A19" s="21" t="s">
        <v>35</v>
      </c>
      <c r="B19" s="212"/>
      <c r="C19" s="213"/>
      <c r="D19" s="93">
        <f>($D$5*1%)/(12)/($B$16)</f>
        <v>0.25829999999999997</v>
      </c>
      <c r="E19" s="99">
        <f t="shared" si="1"/>
        <v>129.15</v>
      </c>
      <c r="F19" s="207" t="s">
        <v>190</v>
      </c>
      <c r="G19" s="207"/>
      <c r="H19" s="207"/>
    </row>
    <row r="20" spans="1:8" x14ac:dyDescent="0.25">
      <c r="A20" s="21" t="s">
        <v>36</v>
      </c>
      <c r="B20" s="214"/>
      <c r="C20" s="215"/>
      <c r="D20" s="93">
        <f>(90.94*$B$5)/(12)/$B$16</f>
        <v>1.52E-2</v>
      </c>
      <c r="E20" s="99">
        <f t="shared" si="1"/>
        <v>7.6</v>
      </c>
      <c r="F20" s="207" t="s">
        <v>191</v>
      </c>
      <c r="G20" s="207"/>
      <c r="H20" s="207"/>
    </row>
    <row r="21" spans="1:8" x14ac:dyDescent="0.25">
      <c r="A21" s="185" t="s">
        <v>41</v>
      </c>
      <c r="B21" s="185"/>
      <c r="C21" s="185"/>
      <c r="D21" s="185"/>
      <c r="E21" s="68">
        <f>SUM(E9:E14,E16:E20)</f>
        <v>5431.75</v>
      </c>
    </row>
    <row r="22" spans="1:8" x14ac:dyDescent="0.25">
      <c r="A22" s="185" t="s">
        <v>180</v>
      </c>
      <c r="B22" s="185"/>
      <c r="C22" s="185"/>
      <c r="D22" s="185"/>
      <c r="E22" s="68">
        <f>E21/B16</f>
        <v>10.86</v>
      </c>
    </row>
    <row r="31" spans="1:8" x14ac:dyDescent="0.25">
      <c r="E31" s="91"/>
    </row>
    <row r="32" spans="1:8" x14ac:dyDescent="0.25">
      <c r="E32" s="91"/>
    </row>
  </sheetData>
  <mergeCells count="22">
    <mergeCell ref="B16:C20"/>
    <mergeCell ref="F12:H12"/>
    <mergeCell ref="F9:H9"/>
    <mergeCell ref="F10:H10"/>
    <mergeCell ref="F11:H11"/>
    <mergeCell ref="F16:H16"/>
    <mergeCell ref="A22:D22"/>
    <mergeCell ref="A1:H2"/>
    <mergeCell ref="B5:B6"/>
    <mergeCell ref="C5:C6"/>
    <mergeCell ref="D5:D6"/>
    <mergeCell ref="E5:E6"/>
    <mergeCell ref="A4:A6"/>
    <mergeCell ref="F8:H8"/>
    <mergeCell ref="F4:H6"/>
    <mergeCell ref="A21:D21"/>
    <mergeCell ref="F15:H15"/>
    <mergeCell ref="F17:H17"/>
    <mergeCell ref="F18:H18"/>
    <mergeCell ref="F19:H19"/>
    <mergeCell ref="F20:H20"/>
    <mergeCell ref="B15:C15"/>
  </mergeCells>
  <pageMargins left="0.511811024" right="0.511811024" top="0.78740157499999996" bottom="0.78740157499999996" header="0.31496062000000002" footer="0.31496062000000002"/>
  <pageSetup paperSize="9" scale="66" orientation="landscape" horizontalDpi="12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H 7 Z U K K 3 K v S n A A A A + A A A A B I A H A B D b 2 5 m a W c v U G F j a 2 F n Z S 5 4 b W w g o h g A K K A U A A A A A A A A A A A A A A A A A A A A A A A A A A A A h Y / B C o I w H I d f R X Z 3 m 5 N K 5 O + E u i Z E Q X Q d u n S k U 9 x s v l u H H q l X S C i r W 8 f f x 3 f 4 f o / b H d K x q b 2 r 7 I 1 q d Y I C T J E n d d 4 W S p c J G u z Z j 1 D K Y S f y i y i l N 8 n a x K M p E l R Z 2 8 W E O O e w C 3 H b l 4 R R G p B T t j 3 k l W w E + s j q v + w r b a z Q u U Q c j q 8 Y z n A U 4 E U U B n i 1 Z E B m D J n S X 4 V N x Z g C + Y G w G W o 7 9 J J 3 1 l / v g c w T y P s F f w J Q S w M E F A A C A A g A P H 7 Z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x + 2 V A o i k e 4 D g A A A B E A A A A T A B w A R m 9 y b X V s Y X M v U 2 V j d G l v b j E u b S C i G A A o o B Q A A A A A A A A A A A A A A A A A A A A A A A A A A A A r T k 0 u y c z P U w i G 0 I b W A F B L A Q I t A B Q A A g A I A D x + 2 V C i t y r 0 p w A A A P g A A A A S A A A A A A A A A A A A A A A A A A A A A A B D b 2 5 m a W c v U G F j a 2 F n Z S 5 4 b W x Q S w E C L Q A U A A I A C A A 8 f t l Q D 8 r p q 6 Q A A A D p A A A A E w A A A A A A A A A A A A A A A A D z A A A A W 0 N v b n R l b n R f V H l w Z X N d L n h t b F B L A Q I t A B Q A A g A I A D x + 2 V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o e h H e v w P L S J R K g 5 S P i u 2 X A A A A A A I A A A A A A B B m A A A A A Q A A I A A A A O z N j E N w 5 1 s t 4 b g e J l c g J G F e T Y 1 c P 8 w I e c A j b a Y C a M G c A A A A A A 6 A A A A A A g A A I A A A A F 7 f G T q j U K U U z p L s W + E J K U w C n A o Y k R h 4 q x F g F 7 x J c T u F U A A A A D 0 U k d T o V z 1 D 2 9 t m 6 b E 6 4 9 P x S h H I w u N s E a O S R k n 9 l h M B y r b K D y l i j I 0 u x K y r v q a x E l O G M Y 4 R Y z A a j 4 2 T j N j Z + J a B j P E B 8 s a C o f 5 J A e o h 8 z J U Q A A A A B / 9 8 I N E Z 2 W L r 6 n l s S 3 K s T n B 1 A 6 u H w 1 6 y S 4 b W N n v R 6 5 j 8 q G o C g h N d 4 T y U W u 0 J O 5 3 v n I u e 5 + n O T O E 9 q g J F I n q b I 4 = < / D a t a M a s h u p > 
</file>

<file path=customXml/itemProps1.xml><?xml version="1.0" encoding="utf-8"?>
<ds:datastoreItem xmlns:ds="http://schemas.openxmlformats.org/officeDocument/2006/customXml" ds:itemID="{EE3BFEDA-751E-46BB-950D-E216A59673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ITEM 01 - VARRIÇÃO</vt:lpstr>
      <vt:lpstr>ITEM 01 - VARRIÇÃO EMBASAMENTO</vt:lpstr>
      <vt:lpstr>ITEM 01 - VEÍCULO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helder</dc:creator>
  <cp:lastModifiedBy>licitacao4</cp:lastModifiedBy>
  <cp:lastPrinted>2024-04-05T14:38:24Z</cp:lastPrinted>
  <dcterms:created xsi:type="dcterms:W3CDTF">2020-06-25T15:41:18Z</dcterms:created>
  <dcterms:modified xsi:type="dcterms:W3CDTF">2024-04-05T14:38:27Z</dcterms:modified>
</cp:coreProperties>
</file>