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epartamento de Licitações - LICITACAO\LICITAÇÃO\20. LICITAÇÕES 2024\2. PREGÃO\19. Pregão Eletrônico nº 19-2024 - Coleta de Lixo e Varrição de Ruas ITEM AMPLA\"/>
    </mc:Choice>
  </mc:AlternateContent>
  <xr:revisionPtr revIDLastSave="0" documentId="13_ncr:1_{EFB0B78B-284D-4586-B334-89D5B7730B43}" xr6:coauthVersionLast="47" xr6:coauthVersionMax="47" xr10:uidLastSave="{00000000-0000-0000-0000-000000000000}"/>
  <bookViews>
    <workbookView xWindow="-120" yWindow="-120" windowWidth="29040" windowHeight="15840" tabRatio="904" activeTab="3" xr2:uid="{00000000-000D-0000-FFFF-FFFF00000000}"/>
  </bookViews>
  <sheets>
    <sheet name="ITEM 02 - COLETA E DESTINAÇÃO" sheetId="1" r:id="rId1"/>
    <sheet name="ITEM 02 - COLETA EMBASAMENTO" sheetId="14" r:id="rId2"/>
    <sheet name="ITEM 02 - VEÍCULOS" sheetId="3" r:id="rId3"/>
    <sheet name="ITEM 02 - DESTINAÇÃO E DESCARGA" sheetId="12" r:id="rId4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2" l="1"/>
  <c r="D21" i="12"/>
  <c r="B30" i="1"/>
  <c r="B26" i="1"/>
  <c r="E29" i="3"/>
  <c r="E13" i="3"/>
  <c r="E33" i="3" l="1"/>
  <c r="E12" i="3"/>
  <c r="E32" i="3"/>
  <c r="D5" i="3" l="1"/>
  <c r="C71" i="1" l="1"/>
  <c r="F71" i="1" s="1"/>
  <c r="C70" i="1"/>
  <c r="F70" i="1" s="1"/>
  <c r="C69" i="1"/>
  <c r="F69" i="1" s="1"/>
  <c r="C68" i="1"/>
  <c r="F68" i="1" s="1"/>
  <c r="E69" i="1" l="1"/>
  <c r="E71" i="1"/>
  <c r="E68" i="1"/>
  <c r="E70" i="1"/>
  <c r="B31" i="1"/>
  <c r="D9" i="12" l="1"/>
  <c r="D10" i="12" s="1"/>
  <c r="C5" i="1"/>
  <c r="C4" i="1"/>
  <c r="D20" i="12" l="1"/>
  <c r="D12" i="12"/>
  <c r="C15" i="12" s="1"/>
  <c r="D22" i="12" l="1"/>
  <c r="C25" i="12" s="1"/>
  <c r="D25" i="12" s="1"/>
  <c r="F25" i="3" s="1"/>
  <c r="C36" i="1"/>
  <c r="D76" i="1"/>
  <c r="C30" i="3"/>
  <c r="E9" i="3"/>
  <c r="D25" i="3"/>
  <c r="E11" i="3"/>
  <c r="C10" i="3"/>
  <c r="E10" i="3" s="1"/>
  <c r="C62" i="1"/>
  <c r="C63" i="1"/>
  <c r="C64" i="1"/>
  <c r="C65" i="1"/>
  <c r="C66" i="1"/>
  <c r="C67" i="1"/>
  <c r="F67" i="1" s="1"/>
  <c r="C61" i="1"/>
  <c r="C36" i="3" l="1"/>
  <c r="E40" i="3" s="1"/>
  <c r="F40" i="3" s="1"/>
  <c r="F29" i="3"/>
  <c r="D34" i="3"/>
  <c r="E34" i="3" s="1"/>
  <c r="F34" i="3" s="1"/>
  <c r="F33" i="3"/>
  <c r="D15" i="12"/>
  <c r="F5" i="3" s="1"/>
  <c r="E76" i="1"/>
  <c r="E67" i="1"/>
  <c r="B82" i="1"/>
  <c r="A82" i="1"/>
  <c r="F32" i="3"/>
  <c r="E31" i="3"/>
  <c r="F31" i="3" s="1"/>
  <c r="E30" i="3"/>
  <c r="F30" i="3" s="1"/>
  <c r="E25" i="3"/>
  <c r="D14" i="3" l="1"/>
  <c r="E14" i="3" s="1"/>
  <c r="F14" i="3" s="1"/>
  <c r="F13" i="3"/>
  <c r="F12" i="3"/>
  <c r="E39" i="3"/>
  <c r="F39" i="3" s="1"/>
  <c r="E37" i="3"/>
  <c r="F37" i="3" s="1"/>
  <c r="E38" i="3"/>
  <c r="F38" i="3" s="1"/>
  <c r="E36" i="3"/>
  <c r="F36" i="3" s="1"/>
  <c r="F10" i="3"/>
  <c r="F9" i="3"/>
  <c r="F11" i="3"/>
  <c r="F76" i="1"/>
  <c r="C77" i="1"/>
  <c r="E77" i="1" s="1"/>
  <c r="E4" i="1"/>
  <c r="C82" i="1"/>
  <c r="F4" i="1" l="1"/>
  <c r="G4" i="1" s="1"/>
  <c r="F41" i="3"/>
  <c r="E61" i="1"/>
  <c r="D36" i="1"/>
  <c r="C26" i="1" l="1"/>
  <c r="B27" i="1" l="1"/>
  <c r="B100" i="1"/>
  <c r="C27" i="1" l="1"/>
  <c r="D27" i="1" s="1"/>
  <c r="B56" i="1"/>
  <c r="B48" i="1"/>
  <c r="D26" i="1" l="1"/>
  <c r="C32" i="1"/>
  <c r="D32" i="1" s="1"/>
  <c r="C33" i="1"/>
  <c r="D33" i="1" s="1"/>
  <c r="C34" i="1"/>
  <c r="D34" i="1" s="1"/>
  <c r="C35" i="1"/>
  <c r="D35" i="1" s="1"/>
  <c r="C31" i="1"/>
  <c r="D31" i="1" s="1"/>
  <c r="A81" i="1" l="1"/>
  <c r="B81" i="1"/>
  <c r="C16" i="3"/>
  <c r="E20" i="3" s="1"/>
  <c r="F20" i="3" s="1"/>
  <c r="E5" i="3"/>
  <c r="E19" i="3" l="1"/>
  <c r="F19" i="3" s="1"/>
  <c r="E16" i="3"/>
  <c r="F16" i="3" s="1"/>
  <c r="E18" i="3"/>
  <c r="F18" i="3" s="1"/>
  <c r="E17" i="3"/>
  <c r="F17" i="3" s="1"/>
  <c r="F21" i="3" l="1"/>
  <c r="F61" i="1"/>
  <c r="E62" i="1"/>
  <c r="E63" i="1"/>
  <c r="E64" i="1"/>
  <c r="E65" i="1"/>
  <c r="E66" i="1"/>
  <c r="C72" i="1" l="1"/>
  <c r="E72" i="1" s="1"/>
  <c r="F42" i="3"/>
  <c r="D82" i="1" s="1"/>
  <c r="E82" i="1" s="1"/>
  <c r="F22" i="3"/>
  <c r="D81" i="1" s="1"/>
  <c r="E5" i="1"/>
  <c r="F5" i="1" s="1"/>
  <c r="B12" i="1"/>
  <c r="C106" i="1" l="1"/>
  <c r="F82" i="1"/>
  <c r="G5" i="1"/>
  <c r="F6" i="1"/>
  <c r="G6" i="1" s="1"/>
  <c r="B37" i="1"/>
  <c r="E81" i="1"/>
  <c r="C83" i="1" s="1"/>
  <c r="E83" i="1" s="1"/>
  <c r="C54" i="1" l="1"/>
  <c r="C46" i="1"/>
  <c r="C16" i="1"/>
  <c r="C22" i="1"/>
  <c r="C11" i="1"/>
  <c r="C51" i="1"/>
  <c r="C42" i="1"/>
  <c r="C20" i="1"/>
  <c r="C55" i="1"/>
  <c r="C47" i="1"/>
  <c r="C17" i="1"/>
  <c r="C15" i="1"/>
  <c r="C9" i="1"/>
  <c r="C18" i="1"/>
  <c r="C52" i="1"/>
  <c r="C43" i="1"/>
  <c r="C19" i="1"/>
  <c r="C53" i="1"/>
  <c r="C45" i="1"/>
  <c r="C21" i="1"/>
  <c r="C10" i="1"/>
  <c r="C44" i="1"/>
  <c r="C30" i="1"/>
  <c r="C37" i="1" s="1"/>
  <c r="D37" i="1" s="1"/>
  <c r="F62" i="1"/>
  <c r="F63" i="1"/>
  <c r="F64" i="1"/>
  <c r="F65" i="1"/>
  <c r="F66" i="1"/>
  <c r="E106" i="1" l="1"/>
  <c r="C48" i="1"/>
  <c r="D48" i="1" s="1"/>
  <c r="D30" i="1"/>
  <c r="E107" i="1"/>
  <c r="C107" i="1"/>
  <c r="C81" i="1"/>
  <c r="F81" i="1" s="1"/>
  <c r="B23" i="1"/>
  <c r="C108" i="1" l="1"/>
  <c r="E108" i="1"/>
  <c r="D47" i="1" l="1"/>
  <c r="D55" i="1"/>
  <c r="D43" i="1"/>
  <c r="D9" i="1"/>
  <c r="D10" i="1"/>
  <c r="D52" i="1"/>
  <c r="D53" i="1"/>
  <c r="D44" i="1"/>
  <c r="D21" i="1"/>
  <c r="D11" i="1"/>
  <c r="D15" i="1"/>
  <c r="D20" i="1"/>
  <c r="D22" i="1"/>
  <c r="D16" i="1"/>
  <c r="D51" i="1"/>
  <c r="D54" i="1"/>
  <c r="D42" i="1"/>
  <c r="D45" i="1"/>
  <c r="D17" i="1"/>
  <c r="D19" i="1"/>
  <c r="D46" i="1"/>
  <c r="D18" i="1"/>
  <c r="C56" i="1"/>
  <c r="C57" i="1" l="1"/>
  <c r="C105" i="1" s="1"/>
  <c r="D56" i="1"/>
  <c r="C12" i="1"/>
  <c r="D12" i="1" s="1"/>
  <c r="C23" i="1"/>
  <c r="D23" i="1" s="1"/>
  <c r="D38" i="1" l="1"/>
  <c r="E104" i="1" s="1"/>
  <c r="C38" i="1"/>
  <c r="C87" i="1" s="1"/>
  <c r="D57" i="1"/>
  <c r="E105" i="1" s="1"/>
  <c r="C104" i="1" l="1"/>
  <c r="E87" i="1" l="1"/>
  <c r="C89" i="1"/>
  <c r="C90" i="1" s="1"/>
  <c r="C92" i="1" s="1"/>
  <c r="E92" i="1" l="1"/>
  <c r="C94" i="1"/>
  <c r="E89" i="1"/>
  <c r="E90" i="1" s="1"/>
  <c r="E94" i="1" l="1"/>
  <c r="C99" i="1"/>
  <c r="E99" i="1" s="1"/>
  <c r="C97" i="1"/>
  <c r="C98" i="1"/>
  <c r="E98" i="1" s="1"/>
  <c r="E97" i="1" l="1"/>
  <c r="E100" i="1" s="1"/>
  <c r="C100" i="1"/>
  <c r="C101" i="1" s="1"/>
  <c r="E101" i="1" s="1"/>
  <c r="E109" i="1" l="1"/>
  <c r="E110" i="1" s="1"/>
  <c r="C109" i="1"/>
  <c r="C1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compras1</author>
  </authors>
  <commentList>
    <comment ref="C4" authorId="0" shapeId="0" xr:uid="{D1DF8478-2944-4457-B20E-53D76ACEA043}">
      <text>
        <r>
          <rPr>
            <sz val="9"/>
            <color indexed="81"/>
            <rFont val="Segoe UI"/>
            <family val="2"/>
          </rPr>
          <t>NR15 - Regulamenta Atividades Insalubres, bem como decisões do TRT18 , TRT12, TST, etc.</t>
        </r>
      </text>
    </comment>
    <comment ref="C5" authorId="0" shapeId="0" xr:uid="{C740FB06-4F5B-409C-B301-5C5D1187ED8D}">
      <text>
        <r>
          <rPr>
            <b/>
            <sz val="9"/>
            <color indexed="81"/>
            <rFont val="Segoe UI"/>
            <family val="2"/>
          </rPr>
          <t>compras1:</t>
        </r>
        <r>
          <rPr>
            <sz val="9"/>
            <color indexed="81"/>
            <rFont val="Segoe UI"/>
            <family val="2"/>
          </rPr>
          <t xml:space="preserve">
CLÁUSULA TERCEIRA - PISOS SALARIAIS: 
PARÁGRAFO QUINTO – Fica assegurado o pagamento do adicional de insalubridade em grau máximo (40%) ao
coletor, inclusive de resíduos vegetais, bem assim àqueles que trabalhem em limpeza de “fundo de vale e córregos”,
ao controlador de vetores e aos desinsetizadores e, em grau médio (20%) ao varredor, calculando-se sempre
referido adicional sobre o valor do salário-mínimo nacional, que servirá de base para o cálculo de toda e qualquer
insalubridade. O pagamento do adicional de insalubridade, na forma aqui estipulada, será devido a todos os
coletores e varredores da limpeza pública, independente da população do Município atendido e da
natureza/composição dos materiais coletados e varridos.</t>
        </r>
      </text>
    </comment>
    <comment ref="B17" authorId="0" shapeId="0" xr:uid="{AF59F1C6-B049-47F6-A880-B318CC484077}">
      <text>
        <r>
          <rPr>
            <b/>
            <sz val="9"/>
            <color indexed="81"/>
            <rFont val="Segoe UI"/>
            <family val="2"/>
          </rPr>
          <t>compras1:</t>
        </r>
        <r>
          <rPr>
            <sz val="9"/>
            <color indexed="81"/>
            <rFont val="Segoe UI"/>
            <family val="2"/>
          </rPr>
          <t xml:space="preserve">
onde RAT = 1, 2 ou 3% e FAP varia entre 0,5 e 2,0%</t>
        </r>
      </text>
    </comment>
    <comment ref="B26" authorId="0" shapeId="0" xr:uid="{0663D165-3340-4DE2-B801-06CAD5C75E2B}">
      <text>
        <r>
          <rPr>
            <b/>
            <sz val="9"/>
            <color indexed="81"/>
            <rFont val="Segoe UI"/>
            <family val="2"/>
          </rPr>
          <t>compras1:</t>
        </r>
        <r>
          <rPr>
            <sz val="9"/>
            <color indexed="81"/>
            <rFont val="Segoe UI"/>
            <family val="2"/>
          </rPr>
          <t xml:space="preserve">
Zerar em caso de valor negativo</t>
        </r>
      </text>
    </comment>
    <comment ref="B30" authorId="0" shapeId="0" xr:uid="{6AC7C72B-BF74-460E-8B9D-EA23EA3B1D44}">
      <text>
        <r>
          <rPr>
            <b/>
            <sz val="9"/>
            <color indexed="81"/>
            <rFont val="Segoe UI"/>
            <family val="2"/>
          </rPr>
          <t>compras1:</t>
        </r>
        <r>
          <rPr>
            <sz val="9"/>
            <color indexed="81"/>
            <rFont val="Segoe UI"/>
            <family val="2"/>
          </rPr>
          <t xml:space="preserve">
Zerar em caso de valor negativo</t>
        </r>
      </text>
    </comment>
    <comment ref="C60" authorId="0" shapeId="0" xr:uid="{2AD9E891-2588-42F9-BE7F-3C35B1DE2C8F}">
      <text>
        <r>
          <rPr>
            <b/>
            <sz val="9"/>
            <color indexed="81"/>
            <rFont val="Segoe UI"/>
            <family val="2"/>
          </rPr>
          <t>compras1:</t>
        </r>
        <r>
          <rPr>
            <sz val="9"/>
            <color indexed="81"/>
            <rFont val="Segoe UI"/>
            <family val="2"/>
          </rPr>
          <t xml:space="preserve">
Observar o TR para definição de quantidade (Quantidade de funcionários x quantidade de EPI necessário)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compras1</author>
  </authors>
  <commentList>
    <comment ref="C10" authorId="0" shapeId="0" xr:uid="{BA2A0E27-20FE-43AD-8DC9-82A4692BDC96}">
      <text>
        <r>
          <rPr>
            <b/>
            <sz val="9"/>
            <color indexed="81"/>
            <rFont val="Segoe UI"/>
            <family val="2"/>
          </rPr>
          <t>compras1:</t>
        </r>
        <r>
          <rPr>
            <sz val="9"/>
            <color indexed="81"/>
            <rFont val="Segoe UI"/>
            <family val="2"/>
          </rPr>
          <t xml:space="preserve">
Galão de 20 Litros - R$ 109,90
</t>
        </r>
      </text>
    </comment>
    <comment ref="C30" authorId="0" shapeId="0" xr:uid="{F4197B1C-A95E-42B6-98BC-CB96B0BCAE4D}">
      <text>
        <r>
          <rPr>
            <b/>
            <sz val="9"/>
            <color indexed="81"/>
            <rFont val="Segoe UI"/>
            <family val="2"/>
          </rPr>
          <t>compras1:</t>
        </r>
        <r>
          <rPr>
            <sz val="9"/>
            <color indexed="81"/>
            <rFont val="Segoe UI"/>
            <family val="2"/>
          </rPr>
          <t xml:space="preserve">
Galão de 20 Litros - R$ 109,90
</t>
        </r>
      </text>
    </comment>
  </commentList>
</comments>
</file>

<file path=xl/sharedStrings.xml><?xml version="1.0" encoding="utf-8"?>
<sst xmlns="http://schemas.openxmlformats.org/spreadsheetml/2006/main" count="389" uniqueCount="238">
  <si>
    <t>Quantidade de Profissionais</t>
  </si>
  <si>
    <t>Valor Unitário</t>
  </si>
  <si>
    <t>Alíquota</t>
  </si>
  <si>
    <t>Valor Anual / Total</t>
  </si>
  <si>
    <t>Quantidade Anual/Total</t>
  </si>
  <si>
    <t>Valor anual/total</t>
  </si>
  <si>
    <t>Valor Anual/Total</t>
  </si>
  <si>
    <t>Total do Módulo 1.1:  Mão de Obra (Sem Encargos Previdênciários e FGTS)</t>
  </si>
  <si>
    <t>TOTAL DO MÓDULO 1: CUSTOS DE MÃO DE OBRA (INCLUI ENCARGOS PREVIDENCIÁRIOS E FGTS)</t>
  </si>
  <si>
    <t>Módulo 1</t>
  </si>
  <si>
    <t>Módulo 2</t>
  </si>
  <si>
    <t>Módulo 3</t>
  </si>
  <si>
    <t>Módulo 4</t>
  </si>
  <si>
    <t>Local e Data</t>
  </si>
  <si>
    <t>Assinatura do Responsável</t>
  </si>
  <si>
    <t>MÓDULO 1.1: MÃO DE OBRA SEM INCIDÊNCIA DE ENCARGOS PREVIDENCIÁRIOS E FGTS</t>
  </si>
  <si>
    <t>Valor Mensal</t>
  </si>
  <si>
    <t>Insalubridade</t>
  </si>
  <si>
    <t>Descrição</t>
  </si>
  <si>
    <t>Custo unit.</t>
  </si>
  <si>
    <t>Uso médio KM</t>
  </si>
  <si>
    <t>Custo/KM</t>
  </si>
  <si>
    <t>Custo mês R$</t>
  </si>
  <si>
    <t>Fonte de Pesquisa</t>
  </si>
  <si>
    <t>Óleo Diesel (L)</t>
  </si>
  <si>
    <t>(ANP)</t>
  </si>
  <si>
    <t>Arla 32 (L) consumo de 5% em relação ao Diesel</t>
  </si>
  <si>
    <t>Óleo lubrificante 5 litros</t>
  </si>
  <si>
    <t>KM Mensal</t>
  </si>
  <si>
    <t>Manutenção do Veículo ( Peças e manutenção)</t>
  </si>
  <si>
    <t>Depreciação de veículo</t>
  </si>
  <si>
    <t xml:space="preserve">IPVA </t>
  </si>
  <si>
    <t>Valor unitário:</t>
  </si>
  <si>
    <t>Valor total:</t>
  </si>
  <si>
    <t>Quantidade</t>
  </si>
  <si>
    <t>KM mensal</t>
  </si>
  <si>
    <t>Valor mensal</t>
  </si>
  <si>
    <t>ANEXO I - Notas Explicativas Geipot (12% do valor do veículo ao ano X quant. Veículos / 12 meses)</t>
  </si>
  <si>
    <t>Valor MensaL</t>
  </si>
  <si>
    <t>MÓDULO 1.2: 13°, FÉRIAS E ADICIONAL DE FÉRIAS</t>
  </si>
  <si>
    <t>Total Módulo 1.2: 13°, Férias e adicional de férias</t>
  </si>
  <si>
    <t>MÓDULO 1.3: GPS, FGTS E OUTRAS CONTRIBUIÇÕES</t>
  </si>
  <si>
    <t>Total Módulo 1.3:  GPS, FGTS e outras contribuições</t>
  </si>
  <si>
    <t>B - Auxílio-Refeição/Alimentação</t>
  </si>
  <si>
    <t>B - COLETOR (44 HORAS SEMANAIS)</t>
  </si>
  <si>
    <t>A - 13° Salário, Férias, Adicional de férias</t>
  </si>
  <si>
    <t>B - Férias</t>
  </si>
  <si>
    <t>C - Adicional de férias</t>
  </si>
  <si>
    <t>A - INSS</t>
  </si>
  <si>
    <t>Referência Unitário</t>
  </si>
  <si>
    <t>C - Desjejum/Café da Manhã</t>
  </si>
  <si>
    <t>MÓDULO 1 - COMPOSIÇÃO DA REMUNERAÇÃO</t>
  </si>
  <si>
    <t>A - Aviso prévio indenizado</t>
  </si>
  <si>
    <t>B - Incidência do FGTS sobre o aviso prévio indenizado</t>
  </si>
  <si>
    <t>C - Multa do FGTS do aviso prévio indenizado</t>
  </si>
  <si>
    <t>D - Aviso prévio trabalhado</t>
  </si>
  <si>
    <t>E - Incidência do submódulo 2.2 sobre aviso prévio trabalhado</t>
  </si>
  <si>
    <t>F - Multa do FGTS sobre o aviso prévio trabalhado</t>
  </si>
  <si>
    <t xml:space="preserve">MÓDULO 3.1: MATERIAIS </t>
  </si>
  <si>
    <t>MÓDULO 2.1: PROVISÃO PARA RESCISÃO</t>
  </si>
  <si>
    <t>MÓDULO 2: PROVISÃO PARA RESCISÃO E CUSTO DE REPOSIÇÃO DO PROFISSIONAL AUSENTE</t>
  </si>
  <si>
    <t>MÓDULO 2.2: REPOSIÇÃO DO PROFISSIONAL AUSENTE</t>
  </si>
  <si>
    <t>A - Substituto na cobertura de Férias</t>
  </si>
  <si>
    <t>B - Substituto na cobertura de Licença-Paternidade</t>
  </si>
  <si>
    <t xml:space="preserve">C -Substituto na cobertura de Ausência por acidente de trabalho </t>
  </si>
  <si>
    <t>D - Substituto na cobertura de Afastamento Maternidade</t>
  </si>
  <si>
    <t>E - Substituto na cobertura de Ausências Legais</t>
  </si>
  <si>
    <t>Total Módulo 2.1: Provisão Para Rescisão</t>
  </si>
  <si>
    <t>Total Módulo 2.2: Provisão Para Rescisão</t>
  </si>
  <si>
    <t>TOTAL DO MÓDULO 2: PROVISÃO PARA RESCISÃO E CUSTO DE REPOSIÇÃO DO PROFISSIONAL AUSENTE</t>
  </si>
  <si>
    <t>MÓDULO 3: CUSTOS COM INSUMOS E EQUIPAMENTOS</t>
  </si>
  <si>
    <t>TOTAL DO MÓDULO 4: CUSTOS COM DESLOCAMENTO</t>
  </si>
  <si>
    <t>Módulo 5</t>
  </si>
  <si>
    <t xml:space="preserve">Valor Anual/Total </t>
  </si>
  <si>
    <t>%</t>
  </si>
  <si>
    <t>B - Lucro</t>
  </si>
  <si>
    <t>C - Tributos</t>
  </si>
  <si>
    <t>BASE DE CÁLCULO DOS TRIBUTOS</t>
  </si>
  <si>
    <t xml:space="preserve">CÁLCULO DOS TRIBUTOS = Base de Cálculo dos Tributos / (1-(Total de Tributos em % dividido por 100)] x Alíquota do tributo </t>
  </si>
  <si>
    <t xml:space="preserve">   C1. Tributos Federais</t>
  </si>
  <si>
    <t xml:space="preserve">        COFINS</t>
  </si>
  <si>
    <t xml:space="preserve">        PIS</t>
  </si>
  <si>
    <t xml:space="preserve">   SUBTOTAL Tributos</t>
  </si>
  <si>
    <r>
      <t>A - Custos indiretos</t>
    </r>
    <r>
      <rPr>
        <sz val="9"/>
        <rFont val="Calibri"/>
        <family val="2"/>
        <scheme val="minor"/>
      </rPr>
      <t xml:space="preserve"> </t>
    </r>
  </si>
  <si>
    <r>
      <t xml:space="preserve">   C2. Tributos Municipais  - </t>
    </r>
    <r>
      <rPr>
        <b/>
        <sz val="9"/>
        <rFont val="Calibri"/>
        <family val="2"/>
        <scheme val="minor"/>
      </rPr>
      <t>ISS</t>
    </r>
  </si>
  <si>
    <t>BASE DE CÁLCULO DOS CUSTOS INDIRETOS/DESPESAS OPERACIONAIS/ADMINISTRATIVAS  (Módulo 1 + Módulo 2+ Módulo 3 + Módulo 4)</t>
  </si>
  <si>
    <t xml:space="preserve">BASE DE CÁLCULO DO LUCRO = (Módulo 1 + Módulo 2+ Módulo 3 + Módulo 4 + Custos Indiretos) </t>
  </si>
  <si>
    <t>VALOR TOTAL DOS MÓDULOS</t>
  </si>
  <si>
    <t>MÓDULO 1.5: BENEFÍCIOS MENSAIS E DIÁRIOS (COLETOR)</t>
  </si>
  <si>
    <t>Fundamentação: art. 7º, inciso VIII, da C.F., Lei nº 4.090/62 e Lei nº 7.787/89. (1 salário / 12 meses)</t>
  </si>
  <si>
    <t>(1/3) do salário / 12 (meses) * 100 = 2,78%</t>
  </si>
  <si>
    <t>B - Salário Educação</t>
  </si>
  <si>
    <t>C - RAT = RAT X FAP</t>
  </si>
  <si>
    <t>D - SESC ou SESI</t>
  </si>
  <si>
    <t>E - SENAI - SENAC</t>
  </si>
  <si>
    <t>F -  SEBRAE</t>
  </si>
  <si>
    <t>G - INCRA</t>
  </si>
  <si>
    <t>H - FGTS</t>
  </si>
  <si>
    <t>Fundamentação: art. 22, inciso I da Lei nº 8.212/91.</t>
  </si>
  <si>
    <t>Decreto n.º 6.003, de 20 de dezembro de 2006, regulamenta a contribuição social do salário educação.</t>
  </si>
  <si>
    <t>A alíquota do SAT refere-se ao risco da atividade preponderante da empresa, individualizado de acordo com o seu Fator Acidentário de Prevenção (FAP), conforme Decreto Federal nº 6.957/2009.</t>
  </si>
  <si>
    <t>Fundamentação: art. 30 da Lei nº 8.036/90.</t>
  </si>
  <si>
    <t>Fundamentação: Decreto-Lei nº 6.246/44 e 8.621/46</t>
  </si>
  <si>
    <t>Fundamentação: Lei nº 8.029/90, alterada pela Lei nº 8.154/90.</t>
  </si>
  <si>
    <t>Fundamentação: art. 1º, inciso I, do Decreto-Lei nº 1.146/70.</t>
  </si>
  <si>
    <t>Fundamentação: art. 15 da Lei nº 8.036/90 e art. 7º, inciso III, da Constituição Federal de 1988.</t>
  </si>
  <si>
    <t>Devido à imprevisibilidade, esse é um montante que a empresa deverá provisionar.</t>
  </si>
  <si>
    <t>8% (alíquota do FGTS) sobre o valor do API. (8% x 0,42% = 0,033%)</t>
  </si>
  <si>
    <t>50% do valor da incidência do FGTS sobre o API. (50% x 0,033% = 0,016%)</t>
  </si>
  <si>
    <t>art. 488 da CLT. ((7/30)/12)x 100 = 1,94%</t>
  </si>
  <si>
    <t>Alíquota total do submódulo 2.2 sobre o valor do APT.</t>
  </si>
  <si>
    <t>50% do valor da incidência do FGTS sobre o APT. (50% x 8% x 1,94% = 0,077%)</t>
  </si>
  <si>
    <t>C. F. art. 7º, inciso VIII, Lei nº 4.090/62 e Lei nº 7.787/89</t>
  </si>
  <si>
    <t>Lei Federal 11.770/2008, atualizada pela Lei 13.257/2016</t>
  </si>
  <si>
    <t>Artigo 27 do Decreto nº 89.312</t>
  </si>
  <si>
    <t>Fundamentação: arts. 473 e 83 da CLT.</t>
  </si>
  <si>
    <t>Estimativa com base no TR e nos preços de mercado.</t>
  </si>
  <si>
    <t>IN 05/2017 – Anexo I</t>
  </si>
  <si>
    <t>art. 3º - CTN – Lei nº 5.172/66</t>
  </si>
  <si>
    <t>Art. 2º da Lei 10.833/03</t>
  </si>
  <si>
    <t>Lei nº 10.637/02.</t>
  </si>
  <si>
    <t>Segundo o CTN, até 5% de acordo com o serviço</t>
  </si>
  <si>
    <t>IN 05/2017 - O manual de orientação do MPOG estabelece como valores
limites para os serviços de vigilância e limpeza os
percentuais de 6% e 3%, respectivamente.</t>
  </si>
  <si>
    <t>KM Anual</t>
  </si>
  <si>
    <t>Total Módulo 1.5:  Benefícios mensais e diários (Coletor)</t>
  </si>
  <si>
    <t>A - MOTORISTA COLETA (44 HORAS SEMANAIS)</t>
  </si>
  <si>
    <t>MÓDULO 1.4: BENEFÍCIOS MENSAIS E DIÁRIOS (MOTORISTA COLETA)</t>
  </si>
  <si>
    <t>Total Módulo 1.4:  Benefícios mensais e diários (Motorista Coleta)</t>
  </si>
  <si>
    <t>Toneladas/mês</t>
  </si>
  <si>
    <t>R$ por tonelada</t>
  </si>
  <si>
    <t>Qtd anual por funcionário</t>
  </si>
  <si>
    <t>Cotação Marketplace</t>
  </si>
  <si>
    <t>ANEXO I - Notas Explicativas Geipot (15% do valor do veículo ao ano X quant. Veículos / 12 meses)</t>
  </si>
  <si>
    <t>Base + insalubridade</t>
  </si>
  <si>
    <t xml:space="preserve">Empresa </t>
  </si>
  <si>
    <t>Endereço</t>
  </si>
  <si>
    <t>CTR3 Coleta e Tranporte de Resíduos</t>
  </si>
  <si>
    <t>Rodovia BR 158 KM 498 - Alto Palmeirinha - Zona Rural de - Coronel Vivida/PR</t>
  </si>
  <si>
    <t>Select Inteligência Ambiental</t>
  </si>
  <si>
    <t>Pema Limpeza e Conservação</t>
  </si>
  <si>
    <t>Linha São Roque - Dois Vizinhos/PR</t>
  </si>
  <si>
    <t>Pneus (06 unidades por caminhão)</t>
  </si>
  <si>
    <t>Licenciamento (02 veículos)</t>
  </si>
  <si>
    <t>LIXO ORGÂNICO - ATERROS SANITÁRIOS LOCALIZADOS PRÓXIMO AO MUNICÍPIO DE CORONEL VIVIDA/PR</t>
  </si>
  <si>
    <t>TOTAL DE KM ESTIMADO A SER PERCORRIDO POR CAMIHÃO COLETA + DESTINAÇÃO</t>
  </si>
  <si>
    <t>Linha São Luiz, interior, Município de Nova Esperança do Sudoeste/PR</t>
  </si>
  <si>
    <t>N°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</si>
  <si>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</si>
  <si>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</si>
  <si>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</si>
  <si>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</si>
  <si>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</si>
  <si>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</si>
  <si>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</si>
  <si>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</si>
  <si>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</si>
  <si>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Base (44 horas)</t>
  </si>
  <si>
    <t>TOTAL DO MÓDULO 3: CUSTOS COM INSUMOS</t>
  </si>
  <si>
    <t>MÓDULO 3: CUSTOS COM INSUMOS</t>
  </si>
  <si>
    <t>MÓDULO 4.1: DESTINAÇÃO FINAL RESÍDUOS ORGÂNICOS</t>
  </si>
  <si>
    <t>TOTAL DO MÓDULO 4: CUSTOS COM A OPERAÇÃO DO ATERRO SANITÁRIO</t>
  </si>
  <si>
    <t>Módulo 6</t>
  </si>
  <si>
    <t>A - Resíduos oriundos da Coleta de lixo orgânico</t>
  </si>
  <si>
    <t>MÓDULO 5: CUSTOS COM DESLOCAMENTOS</t>
  </si>
  <si>
    <t xml:space="preserve">MÓDULO 5: CAMINHÃO COLETOR </t>
  </si>
  <si>
    <t>A - Jaquetas com faixa refletiva</t>
  </si>
  <si>
    <t>D - Calça brim com faixa refletiva</t>
  </si>
  <si>
    <t>E - Calçado de segurança</t>
  </si>
  <si>
    <t>B - Veículo coletor (LIXO RECICLÁVEL)</t>
  </si>
  <si>
    <t>A - Veículo coletor (LIXO ORGÂNICO)</t>
  </si>
  <si>
    <t>KM para destinação</t>
  </si>
  <si>
    <t>Ponto de referência</t>
  </si>
  <si>
    <t>USILIXO</t>
  </si>
  <si>
    <t>MÓDULO 6: CUSTOS INDIRETOS, TRIBUTOS E LUCROS</t>
  </si>
  <si>
    <t>TOTAL MÓDULO 6: CUSTOS INDIRETOS, TRIBUTAÇÃO E LUCROS</t>
  </si>
  <si>
    <t>MÓDULO 6.1: CUSTOS INDIRETOS, TRIBUTOS E LUCROS</t>
  </si>
  <si>
    <t>Local de descarga</t>
  </si>
  <si>
    <t>KM para descarga</t>
  </si>
  <si>
    <t>LIXO RECICLÁVEL - DISTÂNCIA ATÉ LOCAL DE DESCARGA</t>
  </si>
  <si>
    <t>Distância aproximada em KM</t>
  </si>
  <si>
    <t>x2  (ida e volta)</t>
  </si>
  <si>
    <t>Média X2 (ida e volta)</t>
  </si>
  <si>
    <t>A quilometragem mensal utilizada, é a soma da distância necessária para a coleta com a distância a ser percorrida para a destinação, sendo essa última distância em valor dobrado, pelo fato de serem dois caminhões que deverão percorrer.</t>
  </si>
  <si>
    <t>Considerando que 02 (dois) caminhões realizaram o trajeto a distância é dobrada</t>
  </si>
  <si>
    <t xml:space="preserve">Média </t>
  </si>
  <si>
    <t>KM Total (mensal)</t>
  </si>
  <si>
    <t>KM total para coleta</t>
  </si>
  <si>
    <r>
      <t>KM MENSAL ESTIMADA A SER PERCORRIDO PARA A DESTINAÇÃO</t>
    </r>
    <r>
      <rPr>
        <b/>
        <sz val="11"/>
        <color theme="1"/>
        <rFont val="Calibri"/>
        <family val="2"/>
        <scheme val="minor"/>
      </rPr>
      <t xml:space="preserve"> (26 DIAS) </t>
    </r>
  </si>
  <si>
    <r>
      <t>KM MENSAL ESTIMADA A SER PERCORRIDO PARA A DESCARGA</t>
    </r>
    <r>
      <rPr>
        <b/>
        <sz val="11"/>
        <color theme="1"/>
        <rFont val="Calibri"/>
        <family val="2"/>
        <scheme val="minor"/>
      </rPr>
      <t xml:space="preserve"> (26 DIAS) </t>
    </r>
  </si>
  <si>
    <t>A quantidade é a média de resíduos orgânicos coletados nos últimos 12 (doze) meses, o valor unitário oriundo da média obtida através do valor pago atualmente pelo município de Coronel Vivida Contrato 102/2019, Contrato 302/2023 de Antônio Olinto/PR e orçamento da empresa CETRIC - Central de Tratamento de Resíduos Sólidos, Industriais e Comerciais de Chapecó Ltda.</t>
  </si>
  <si>
    <t>CLÁUSULA TERCEIRA DA CCT PR000232/2024, item 08.</t>
  </si>
  <si>
    <t>1 Salário / 12 meses *100 = 8,33%</t>
  </si>
  <si>
    <t>CLÁUSULA DÉCIMA QUARTA DA CCT PR000232/2024.</t>
  </si>
  <si>
    <t>CLÁUSULA DÉCIMA TERCEIRA DA CCT PR000232/2024, (R$ 700,00 - 20%).</t>
  </si>
  <si>
    <t>CLÁUSULA DÉCIMA TERCEIRA DA CCT PR000232/2024.</t>
  </si>
  <si>
    <t>CLÁUSULA DÉCIMA SEXTA DA CCT PR000232/2024.</t>
  </si>
  <si>
    <t>CLÁUSULA DÉCIMA SÉTIMA DA CCT PR000232/2024.</t>
  </si>
  <si>
    <t>CLÁUSULA VIGÉSIMA TERCEIRA DA CCT PR000232/2024.</t>
  </si>
  <si>
    <t>Lei nº 7.418/1985: obrigação de pagar deslocamentos do trabalhador no percurso residência-trabalho-residência. O empregador participará dos gastos de deslocamento do trabalhador com a ajuda de custo equivalente à parcela que exceder a 6% (seis por cento) de seu salário básico.</t>
  </si>
  <si>
    <t>CLÁUSULA TERCEIRA DA CCT PR002907/2023, letra "d)".</t>
  </si>
  <si>
    <t>MÓDULO 1.4: BENEFÍCIOS MENSAIS E DIÁRIOS (Motorista)</t>
  </si>
  <si>
    <t>R$ Por KM Rodado</t>
  </si>
  <si>
    <t>A quilometragem mensal utilizada, é a soma da distância necessária para a coleta com a distância a ser percorrida para a descarga na USILIXO, sendo essa última distância em valor dobrado, pelo fato de serem dois caminhões que deverão percorrer.</t>
  </si>
  <si>
    <t>B - Camisa manga curta com faixa refletiva</t>
  </si>
  <si>
    <t>C - Camisa manga longa com faixa refletiva</t>
  </si>
  <si>
    <t>F - Protetor solar 120ml</t>
  </si>
  <si>
    <t>G - Protetor auricular tipo plug</t>
  </si>
  <si>
    <r>
      <t xml:space="preserve">H - Boné modelo árabe </t>
    </r>
    <r>
      <rPr>
        <b/>
        <sz val="9"/>
        <color theme="1"/>
        <rFont val="Calibri"/>
        <family val="2"/>
        <scheme val="minor"/>
      </rPr>
      <t>(só coletor)</t>
    </r>
  </si>
  <si>
    <r>
      <t xml:space="preserve">I - Luva de proteção </t>
    </r>
    <r>
      <rPr>
        <b/>
        <sz val="9"/>
        <color theme="1"/>
        <rFont val="Calibri"/>
        <family val="2"/>
        <scheme val="minor"/>
      </rPr>
      <t>(só coletor)</t>
    </r>
  </si>
  <si>
    <r>
      <t xml:space="preserve">J - Capa de chuva </t>
    </r>
    <r>
      <rPr>
        <b/>
        <sz val="9"/>
        <color theme="1"/>
        <rFont val="Calibri"/>
        <family val="2"/>
        <scheme val="minor"/>
      </rPr>
      <t>(só coletor)</t>
    </r>
  </si>
  <si>
    <r>
      <t xml:space="preserve">K - Óculos de proteção de radiação solar </t>
    </r>
    <r>
      <rPr>
        <b/>
        <sz val="9"/>
        <color theme="1"/>
        <rFont val="Calibri"/>
        <family val="2"/>
        <scheme val="minor"/>
      </rPr>
      <t>(só coletor)</t>
    </r>
  </si>
  <si>
    <t>Coronel Vivida</t>
  </si>
  <si>
    <t>DISTÂNCIA UTILIZADA COMO REFERÊNCIA PARA DESTINAÇÃO DO LIXO ORGÂNICO E DESCARGA DO LIXO RECICLÁVEL</t>
  </si>
  <si>
    <t>Valor por KM</t>
  </si>
  <si>
    <t>MÓDULO 1.5: BENEFÍCIOS MENSAIS E DIÁRIOS (Coletor)</t>
  </si>
  <si>
    <t>MÓDULO 4: CUSTOS COM A DESTINAÇÃO FINAL DE RESÍDUOS ORGÂNICOS</t>
  </si>
  <si>
    <t>ITEM 02 COLETA, TRANSPORTE E DESTINAÇÃO  - FUNDAMENTAÇÃO</t>
  </si>
  <si>
    <t>Recapagens (02 por pneu)</t>
  </si>
  <si>
    <t>Limpeza e higienização</t>
  </si>
  <si>
    <t>Remuneração de capital</t>
  </si>
  <si>
    <t>ANEXO I - Notas Explicativas Geipot (0,0033 do valor do veículo ao mês X quant. Veículos)</t>
  </si>
  <si>
    <t>1 % do valor do veículo ao ano x quant. de veículos / 12 meses)</t>
  </si>
  <si>
    <t>DETRAN PR 2024 (R$ 90,94 por veículo / 12 meses)</t>
  </si>
  <si>
    <t>Cotação Marketplace -  215/75 R 17,5 (6 X 629,80) - GEIPOT entre 85 E 125 mil KM</t>
  </si>
  <si>
    <t>Pregão Eletrônico Nº 62/2023 - Município de Coronel Vivida</t>
  </si>
  <si>
    <t>ANEXO I - Notas Explicativas Geipot (duas recapagens até 80.000 km por pneu) Pregão Eletrônico Nº 42/2023</t>
  </si>
  <si>
    <t>A - Transporte (24 dias trabalhados x 3,80 valor da passagem x 2) - (6% do salário)</t>
  </si>
  <si>
    <t>B - COLETOR (40 HORAS SEMANAIS)</t>
  </si>
  <si>
    <t>NR15 - Regulamenta Atividades Insalubres, bem como decisões do TRT18, TRT12, TST, etc.</t>
  </si>
  <si>
    <t>INSALUBRIDADE MOTORISTA</t>
  </si>
  <si>
    <t>INSALUBRIDADE COLETOR</t>
  </si>
  <si>
    <t>CLÁUSULA TERCEIRA - PISOS SALARIAIS: PARÁGRAFO QUINTO</t>
  </si>
  <si>
    <t>MUNICÍPIO DE CORONEL VIVIDA
MODELO DE PLANILHA DE FORMAÇÃO DE CUSTOS - ITEM 02 COLETA, TRANSPORTE E DESTINAÇÃO FINAL</t>
  </si>
  <si>
    <t>D - Assistência médica e Familiar</t>
  </si>
  <si>
    <t>E - Benefício Social Familiar (BSF)</t>
  </si>
  <si>
    <t>F - Fundo de Formação Profissional</t>
  </si>
  <si>
    <t>G - Auxílio Alimentação nas Férias</t>
  </si>
  <si>
    <t>CUSTO POR KM PARA COLETA E TRANPORTE DE CADA TIPO DE RESÍDUOS SÓLIDOS URBANOS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</si>
</sst>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R$&quot;\ * #,##0.00_-;\-&quot;R$&quot;\ * #,##0.00_-;_-&quot;R$&quot;\ * &quot;-&quot;??_-;_-@_-"/>
    <numFmt numFmtId="165" formatCode="&quot;R$&quot;\ #,##0.00"/>
    <numFmt numFmtId="166" formatCode="0.000%"/>
    <numFmt numFmtId="167" formatCode="_(&quot;R$ &quot;* #,##0.00_);_(&quot;R$ &quot;* \(#,##0.00\);_(&quot;R$ &quot;* &quot;-&quot;??_);_(@_)"/>
    <numFmt numFmtId="168" formatCode="_-&quot;R$&quot;\ * #,##0.0000_-;\-&quot;R$&quot;\ * #,##0.0000_-;_-&quot;R$&quot;\ * &quot;-&quot;??_-;_-@_-"/>
  </numFmts>
  <fonts count="2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b/>
      <i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5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right" vertical="center" wrapText="1"/>
    </xf>
    <xf numFmtId="4" fontId="4" fillId="6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5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1" applyFont="1" applyBorder="1"/>
    <xf numFmtId="0" fontId="8" fillId="12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 vertical="center"/>
    </xf>
    <xf numFmtId="164" fontId="10" fillId="0" borderId="1" xfId="1" applyFont="1" applyBorder="1" applyAlignment="1">
      <alignment horizontal="center" vertical="top"/>
    </xf>
    <xf numFmtId="0" fontId="3" fillId="4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horizontal="left" vertical="center" wrapText="1"/>
    </xf>
    <xf numFmtId="165" fontId="2" fillId="15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10" fontId="2" fillId="5" borderId="1" xfId="2" applyNumberFormat="1" applyFont="1" applyFill="1" applyBorder="1" applyAlignment="1">
      <alignment horizontal="center" vertical="center" wrapText="1"/>
    </xf>
    <xf numFmtId="166" fontId="2" fillId="5" borderId="1" xfId="2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0" fontId="3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justify" vertical="center" wrapText="1"/>
    </xf>
    <xf numFmtId="0" fontId="3" fillId="15" borderId="1" xfId="0" applyFont="1" applyFill="1" applyBorder="1" applyAlignment="1">
      <alignment horizontal="center" vertical="center" wrapText="1"/>
    </xf>
    <xf numFmtId="10" fontId="3" fillId="15" borderId="1" xfId="2" applyNumberFormat="1" applyFont="1" applyFill="1" applyBorder="1" applyAlignment="1">
      <alignment horizontal="center" vertical="center" wrapText="1"/>
    </xf>
    <xf numFmtId="165" fontId="3" fillId="15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164" fontId="2" fillId="13" borderId="1" xfId="1" applyFont="1" applyFill="1" applyBorder="1" applyAlignment="1">
      <alignment horizontal="center" vertical="center" wrapText="1"/>
    </xf>
    <xf numFmtId="164" fontId="3" fillId="13" borderId="1" xfId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justify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vertical="center" wrapText="1"/>
    </xf>
    <xf numFmtId="0" fontId="10" fillId="11" borderId="1" xfId="0" applyFont="1" applyFill="1" applyBorder="1" applyAlignment="1">
      <alignment horizontal="justify" vertical="center" wrapText="1"/>
    </xf>
    <xf numFmtId="0" fontId="14" fillId="11" borderId="1" xfId="0" applyFont="1" applyFill="1" applyBorder="1" applyAlignment="1">
      <alignment horizontal="justify" vertical="center" wrapText="1"/>
    </xf>
    <xf numFmtId="10" fontId="14" fillId="11" borderId="1" xfId="2" applyNumberFormat="1" applyFont="1" applyFill="1" applyBorder="1" applyAlignment="1">
      <alignment horizontal="center" vertical="center" wrapText="1"/>
    </xf>
    <xf numFmtId="10" fontId="10" fillId="5" borderId="1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5" fontId="4" fillId="5" borderId="0" xfId="0" applyNumberFormat="1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15" fillId="5" borderId="0" xfId="0" applyFont="1" applyFill="1" applyAlignment="1">
      <alignment vertical="center"/>
    </xf>
    <xf numFmtId="164" fontId="2" fillId="0" borderId="0" xfId="0" applyNumberFormat="1" applyFont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vertical="center" wrapText="1"/>
    </xf>
    <xf numFmtId="165" fontId="2" fillId="5" borderId="1" xfId="1" applyNumberFormat="1" applyFont="1" applyFill="1" applyBorder="1" applyAlignment="1">
      <alignment horizontal="center" vertical="center" wrapText="1"/>
    </xf>
    <xf numFmtId="164" fontId="10" fillId="0" borderId="10" xfId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164" fontId="18" fillId="0" borderId="1" xfId="1" applyFont="1" applyBorder="1"/>
    <xf numFmtId="0" fontId="2" fillId="4" borderId="10" xfId="0" applyFont="1" applyFill="1" applyBorder="1" applyAlignment="1">
      <alignment horizontal="left" vertical="center" wrapText="1"/>
    </xf>
    <xf numFmtId="165" fontId="2" fillId="5" borderId="1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right" vertical="center" wrapText="1"/>
    </xf>
    <xf numFmtId="164" fontId="0" fillId="0" borderId="0" xfId="0" applyNumberFormat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1" fontId="2" fillId="3" borderId="9" xfId="0" applyNumberFormat="1" applyFont="1" applyFill="1" applyBorder="1" applyAlignment="1">
      <alignment horizontal="center" vertical="top" shrinkToFit="1"/>
    </xf>
    <xf numFmtId="2" fontId="0" fillId="11" borderId="1" xfId="0" applyNumberFormat="1" applyFill="1" applyBorder="1" applyAlignment="1">
      <alignment horizontal="center"/>
    </xf>
    <xf numFmtId="0" fontId="21" fillId="11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10" fillId="5" borderId="1" xfId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8" fillId="5" borderId="0" xfId="0" applyFont="1" applyFill="1" applyAlignment="1">
      <alignment horizontal="center" vertical="center"/>
    </xf>
    <xf numFmtId="0" fontId="0" fillId="0" borderId="12" xfId="0" applyBorder="1"/>
    <xf numFmtId="164" fontId="0" fillId="0" borderId="12" xfId="1" applyFont="1" applyBorder="1"/>
    <xf numFmtId="0" fontId="9" fillId="0" borderId="0" xfId="0" applyFont="1" applyAlignment="1">
      <alignment vertical="center"/>
    </xf>
    <xf numFmtId="0" fontId="8" fillId="5" borderId="0" xfId="0" applyFont="1" applyFill="1" applyAlignment="1">
      <alignment horizontal="center"/>
    </xf>
    <xf numFmtId="164" fontId="8" fillId="5" borderId="0" xfId="1" applyFont="1" applyFill="1" applyBorder="1" applyAlignment="1">
      <alignment horizontal="left"/>
    </xf>
    <xf numFmtId="2" fontId="8" fillId="5" borderId="0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5" borderId="0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165" fontId="4" fillId="14" borderId="8" xfId="0" applyNumberFormat="1" applyFont="1" applyFill="1" applyBorder="1" applyAlignment="1">
      <alignment horizontal="center" vertical="center" wrapText="1"/>
    </xf>
    <xf numFmtId="165" fontId="4" fillId="14" borderId="1" xfId="0" applyNumberFormat="1" applyFont="1" applyFill="1" applyBorder="1" applyAlignment="1">
      <alignment horizontal="center" vertical="center" wrapText="1"/>
    </xf>
    <xf numFmtId="165" fontId="4" fillId="8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4" fillId="7" borderId="1" xfId="0" applyNumberFormat="1" applyFont="1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8" fontId="0" fillId="0" borderId="1" xfId="1" applyNumberFormat="1" applyFont="1" applyBorder="1"/>
    <xf numFmtId="168" fontId="0" fillId="0" borderId="12" xfId="1" applyNumberFormat="1" applyFont="1" applyBorder="1"/>
    <xf numFmtId="164" fontId="0" fillId="0" borderId="1" xfId="1" applyFont="1" applyFill="1" applyBorder="1"/>
    <xf numFmtId="3" fontId="0" fillId="0" borderId="1" xfId="0" applyNumberFormat="1" applyBorder="1"/>
    <xf numFmtId="168" fontId="0" fillId="0" borderId="1" xfId="1" applyNumberFormat="1" applyFont="1" applyFill="1" applyBorder="1"/>
    <xf numFmtId="0" fontId="7" fillId="0" borderId="5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4" fontId="0" fillId="0" borderId="1" xfId="0" applyNumberFormat="1" applyBorder="1" applyAlignment="1">
      <alignment horizontal="right" vertical="center"/>
    </xf>
    <xf numFmtId="164" fontId="7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164" fontId="2" fillId="13" borderId="1" xfId="1" applyFont="1" applyFill="1" applyBorder="1" applyAlignment="1">
      <alignment horizontal="center" vertical="center" wrapText="1"/>
    </xf>
    <xf numFmtId="167" fontId="13" fillId="11" borderId="1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4" fillId="7" borderId="5" xfId="0" applyNumberFormat="1" applyFont="1" applyFill="1" applyBorder="1" applyAlignment="1">
      <alignment horizontal="center" vertical="center" wrapText="1"/>
    </xf>
    <xf numFmtId="165" fontId="4" fillId="7" borderId="6" xfId="0" applyNumberFormat="1" applyFont="1" applyFill="1" applyBorder="1" applyAlignment="1">
      <alignment horizontal="center" vertical="center" wrapText="1"/>
    </xf>
    <xf numFmtId="167" fontId="5" fillId="11" borderId="1" xfId="0" applyNumberFormat="1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left" vertical="center" wrapText="1"/>
    </xf>
    <xf numFmtId="167" fontId="14" fillId="11" borderId="1" xfId="0" applyNumberFormat="1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167" fontId="5" fillId="10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5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5" fontId="4" fillId="6" borderId="1" xfId="0" applyNumberFormat="1" applyFont="1" applyFill="1" applyBorder="1" applyAlignment="1">
      <alignment horizontal="center" vertical="center" wrapText="1"/>
    </xf>
    <xf numFmtId="164" fontId="3" fillId="13" borderId="1" xfId="1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left" vertical="center" wrapText="1"/>
    </xf>
    <xf numFmtId="0" fontId="10" fillId="11" borderId="6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" xfId="0" applyFont="1" applyBorder="1" applyAlignment="1">
      <alignment horizontal="left"/>
    </xf>
    <xf numFmtId="0" fontId="8" fillId="12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64" fontId="8" fillId="5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2" fillId="17" borderId="2" xfId="0" applyFont="1" applyFill="1" applyBorder="1" applyAlignment="1">
      <alignment horizontal="center" vertical="center"/>
    </xf>
    <xf numFmtId="0" fontId="22" fillId="17" borderId="8" xfId="0" applyFont="1" applyFill="1" applyBorder="1" applyAlignment="1">
      <alignment horizontal="center" vertical="center"/>
    </xf>
    <xf numFmtId="0" fontId="22" fillId="17" borderId="3" xfId="0" applyFont="1" applyFill="1" applyBorder="1" applyAlignment="1">
      <alignment horizontal="center" vertical="center"/>
    </xf>
    <xf numFmtId="0" fontId="22" fillId="17" borderId="14" xfId="0" applyFont="1" applyFill="1" applyBorder="1" applyAlignment="1">
      <alignment horizontal="center" vertical="center"/>
    </xf>
    <xf numFmtId="0" fontId="22" fillId="17" borderId="13" xfId="0" applyFont="1" applyFill="1" applyBorder="1" applyAlignment="1">
      <alignment horizontal="center" vertical="center"/>
    </xf>
    <xf numFmtId="0" fontId="22" fillId="17" borderId="15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2" fontId="8" fillId="12" borderId="1" xfId="1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12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22" fillId="17" borderId="1" xfId="0" applyFont="1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21" fillId="0" borderId="1" xfId="0" applyFont="1" applyBorder="1" applyAlignment="1">
      <alignment horizontal="center"/>
    </xf>
    <xf numFmtId="0" fontId="0" fillId="12" borderId="1" xfId="0" applyFill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14"/>
  <sheetViews>
    <sheetView workbookViewId="0">
      <selection activeCell="A5" sqref="A5"/>
    </sheetView>
  </sheetViews>
  <sheetFormatPr defaultColWidth="8.85546875" defaultRowHeight="12" x14ac:dyDescent="0.25"/>
  <cols>
    <col min="1" max="1" width="45.140625" style="1" customWidth="1"/>
    <col min="2" max="3" width="12" style="1" customWidth="1"/>
    <col min="4" max="5" width="14" style="1" customWidth="1"/>
    <col min="6" max="7" width="16.7109375" style="1" customWidth="1"/>
    <col min="8" max="8" width="11" style="1" bestFit="1" customWidth="1"/>
    <col min="9" max="10" width="9.140625" style="1" bestFit="1" customWidth="1"/>
    <col min="11" max="13" width="8.85546875" style="1"/>
    <col min="14" max="14" width="10" style="1" bestFit="1" customWidth="1"/>
    <col min="15" max="16384" width="8.85546875" style="1"/>
  </cols>
  <sheetData>
    <row r="1" spans="1:16" ht="27.75" customHeight="1" x14ac:dyDescent="0.25">
      <c r="A1" s="125" t="s">
        <v>232</v>
      </c>
      <c r="B1" s="125"/>
      <c r="C1" s="125"/>
      <c r="D1" s="125"/>
      <c r="E1" s="125"/>
      <c r="F1" s="125"/>
      <c r="G1" s="125"/>
    </row>
    <row r="2" spans="1:16" x14ac:dyDescent="0.25">
      <c r="A2" s="129" t="s">
        <v>51</v>
      </c>
      <c r="B2" s="129"/>
      <c r="C2" s="129"/>
      <c r="D2" s="129"/>
      <c r="E2" s="129"/>
      <c r="F2" s="129"/>
      <c r="G2" s="129"/>
    </row>
    <row r="3" spans="1:16" ht="24" x14ac:dyDescent="0.25">
      <c r="A3" s="25" t="s">
        <v>15</v>
      </c>
      <c r="B3" s="32" t="s">
        <v>156</v>
      </c>
      <c r="C3" s="33" t="s">
        <v>17</v>
      </c>
      <c r="D3" s="32" t="s">
        <v>0</v>
      </c>
      <c r="E3" s="32" t="s">
        <v>133</v>
      </c>
      <c r="F3" s="32" t="s">
        <v>16</v>
      </c>
      <c r="G3" s="32" t="s">
        <v>3</v>
      </c>
    </row>
    <row r="4" spans="1:16" ht="12.75" x14ac:dyDescent="0.25">
      <c r="A4" s="8" t="s">
        <v>125</v>
      </c>
      <c r="B4" s="9">
        <v>2305.27</v>
      </c>
      <c r="C4" s="9">
        <f>1412*40%</f>
        <v>564.79999999999995</v>
      </c>
      <c r="D4" s="18">
        <v>4</v>
      </c>
      <c r="E4" s="64">
        <f>B4+C4</f>
        <v>2870.07</v>
      </c>
      <c r="F4" s="11">
        <f>E4*D4</f>
        <v>11480.28</v>
      </c>
      <c r="G4" s="11">
        <f>F4*12</f>
        <v>137763.35999999999</v>
      </c>
      <c r="H4" s="55"/>
    </row>
    <row r="5" spans="1:16" ht="12.75" x14ac:dyDescent="0.25">
      <c r="A5" s="8" t="s">
        <v>44</v>
      </c>
      <c r="B5" s="9">
        <v>1749</v>
      </c>
      <c r="C5" s="9">
        <f>1412*40%</f>
        <v>564.79999999999995</v>
      </c>
      <c r="D5" s="18">
        <v>8</v>
      </c>
      <c r="E5" s="64">
        <f>B5+C5</f>
        <v>2313.8000000000002</v>
      </c>
      <c r="F5" s="11">
        <f>E5*D5</f>
        <v>18510.400000000001</v>
      </c>
      <c r="G5" s="11">
        <f>F5*12</f>
        <v>222124.79999999999</v>
      </c>
      <c r="H5" s="55"/>
    </row>
    <row r="6" spans="1:16" ht="15" customHeight="1" x14ac:dyDescent="0.25">
      <c r="A6" s="132" t="s">
        <v>7</v>
      </c>
      <c r="B6" s="133"/>
      <c r="C6" s="133"/>
      <c r="D6" s="133"/>
      <c r="E6" s="134"/>
      <c r="F6" s="105">
        <f>SUM(F4:F5)</f>
        <v>29990.68</v>
      </c>
      <c r="G6" s="105">
        <f>F6*12</f>
        <v>359888.16</v>
      </c>
    </row>
    <row r="7" spans="1:16" x14ac:dyDescent="0.25">
      <c r="A7" s="126"/>
      <c r="B7" s="126"/>
      <c r="C7" s="126"/>
      <c r="D7" s="126"/>
      <c r="E7" s="127"/>
      <c r="F7" s="127"/>
      <c r="G7" s="128"/>
    </row>
    <row r="8" spans="1:16" ht="15.75" customHeight="1" x14ac:dyDescent="0.25">
      <c r="A8" s="25" t="s">
        <v>39</v>
      </c>
      <c r="B8" s="32" t="s">
        <v>2</v>
      </c>
      <c r="C8" s="32" t="s">
        <v>16</v>
      </c>
      <c r="D8" s="32" t="s">
        <v>3</v>
      </c>
      <c r="E8" s="58"/>
      <c r="F8" s="58"/>
    </row>
    <row r="9" spans="1:16" ht="12.75" x14ac:dyDescent="0.25">
      <c r="A9" s="8" t="s">
        <v>45</v>
      </c>
      <c r="B9" s="10">
        <v>8.3299999999999999E-2</v>
      </c>
      <c r="C9" s="11">
        <f>B9*$F$6</f>
        <v>2498.2199999999998</v>
      </c>
      <c r="D9" s="11">
        <f>B9*$G$6</f>
        <v>29978.68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ht="12.75" x14ac:dyDescent="0.25">
      <c r="A10" s="8" t="s">
        <v>46</v>
      </c>
      <c r="B10" s="10">
        <v>8.3299999999999999E-2</v>
      </c>
      <c r="C10" s="11">
        <f t="shared" ref="C10:C11" si="0">B10*$F$6</f>
        <v>2498.2199999999998</v>
      </c>
      <c r="D10" s="11">
        <f t="shared" ref="D10:D11" si="1">B10*$G$6</f>
        <v>29978.68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ht="12.75" x14ac:dyDescent="0.25">
      <c r="A11" s="8" t="s">
        <v>47</v>
      </c>
      <c r="B11" s="10">
        <v>2.7799999999999998E-2</v>
      </c>
      <c r="C11" s="11">
        <f t="shared" si="0"/>
        <v>833.74</v>
      </c>
      <c r="D11" s="11">
        <f t="shared" si="1"/>
        <v>10004.89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6" x14ac:dyDescent="0.25">
      <c r="A12" s="32" t="s">
        <v>40</v>
      </c>
      <c r="B12" s="34">
        <f>SUM(B9:B11)</f>
        <v>0.19439999999999999</v>
      </c>
      <c r="C12" s="35">
        <f t="shared" ref="C12" si="2">SUM(C9:C11)</f>
        <v>5830.18</v>
      </c>
      <c r="D12" s="35">
        <f>C12*12</f>
        <v>69962.16</v>
      </c>
      <c r="E12" s="58"/>
      <c r="F12" s="58"/>
    </row>
    <row r="13" spans="1:16" x14ac:dyDescent="0.25">
      <c r="A13" s="126"/>
      <c r="B13" s="126"/>
      <c r="C13" s="126"/>
      <c r="D13" s="126"/>
      <c r="E13" s="130"/>
      <c r="F13" s="130"/>
      <c r="G13" s="131"/>
    </row>
    <row r="14" spans="1:16" ht="12.75" customHeight="1" x14ac:dyDescent="0.25">
      <c r="A14" s="25" t="s">
        <v>41</v>
      </c>
      <c r="B14" s="32" t="s">
        <v>2</v>
      </c>
      <c r="C14" s="32" t="s">
        <v>16</v>
      </c>
      <c r="D14" s="32" t="s">
        <v>3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16" ht="12.75" x14ac:dyDescent="0.25">
      <c r="A15" s="8" t="s">
        <v>48</v>
      </c>
      <c r="B15" s="10">
        <v>0.2</v>
      </c>
      <c r="C15" s="11">
        <f>B15*$F$6</f>
        <v>5998.14</v>
      </c>
      <c r="D15" s="11">
        <f>B15*$G$6</f>
        <v>71977.63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6" ht="12.75" customHeight="1" x14ac:dyDescent="0.25">
      <c r="A16" s="8" t="s">
        <v>91</v>
      </c>
      <c r="B16" s="10">
        <v>2.5000000000000001E-2</v>
      </c>
      <c r="C16" s="11">
        <f t="shared" ref="C16:C22" si="3">B16*$F$6</f>
        <v>749.77</v>
      </c>
      <c r="D16" s="11">
        <f t="shared" ref="D16:D22" si="4">B16*$G$6</f>
        <v>8997.2000000000007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7" ht="12.75" x14ac:dyDescent="0.25">
      <c r="A17" s="8" t="s">
        <v>92</v>
      </c>
      <c r="B17" s="10">
        <v>0.03</v>
      </c>
      <c r="C17" s="11">
        <f t="shared" si="3"/>
        <v>899.72</v>
      </c>
      <c r="D17" s="11">
        <f t="shared" si="4"/>
        <v>10796.64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1:17" ht="12.75" x14ac:dyDescent="0.25">
      <c r="A18" s="8" t="s">
        <v>93</v>
      </c>
      <c r="B18" s="10">
        <v>1.4999999999999999E-2</v>
      </c>
      <c r="C18" s="11">
        <f t="shared" si="3"/>
        <v>449.86</v>
      </c>
      <c r="D18" s="11">
        <f t="shared" si="4"/>
        <v>5398.32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1:17" ht="12.75" x14ac:dyDescent="0.25">
      <c r="A19" s="8" t="s">
        <v>94</v>
      </c>
      <c r="B19" s="10">
        <v>0.01</v>
      </c>
      <c r="C19" s="11">
        <f t="shared" si="3"/>
        <v>299.91000000000003</v>
      </c>
      <c r="D19" s="11">
        <f t="shared" si="4"/>
        <v>3598.88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17" ht="12.75" customHeight="1" x14ac:dyDescent="0.25">
      <c r="A20" s="8" t="s">
        <v>95</v>
      </c>
      <c r="B20" s="10">
        <v>6.0000000000000001E-3</v>
      </c>
      <c r="C20" s="11">
        <f t="shared" si="3"/>
        <v>179.94</v>
      </c>
      <c r="D20" s="11">
        <f t="shared" si="4"/>
        <v>2159.33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</row>
    <row r="21" spans="1:17" ht="12.75" customHeight="1" x14ac:dyDescent="0.25">
      <c r="A21" s="8" t="s">
        <v>96</v>
      </c>
      <c r="B21" s="10">
        <v>2E-3</v>
      </c>
      <c r="C21" s="11">
        <f t="shared" si="3"/>
        <v>59.98</v>
      </c>
      <c r="D21" s="11">
        <f t="shared" si="4"/>
        <v>719.78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1:17" ht="12.75" customHeight="1" x14ac:dyDescent="0.25">
      <c r="A22" s="8" t="s">
        <v>97</v>
      </c>
      <c r="B22" s="10">
        <v>0.08</v>
      </c>
      <c r="C22" s="11">
        <f t="shared" si="3"/>
        <v>2399.25</v>
      </c>
      <c r="D22" s="11">
        <f t="shared" si="4"/>
        <v>28791.05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7" x14ac:dyDescent="0.25">
      <c r="A23" s="32" t="s">
        <v>42</v>
      </c>
      <c r="B23" s="34">
        <f>SUM(B15:B22)</f>
        <v>0.36799999999999999</v>
      </c>
      <c r="C23" s="35">
        <f>SUM(C15:C22)</f>
        <v>11036.57</v>
      </c>
      <c r="D23" s="35">
        <f>C23*12</f>
        <v>132438.84</v>
      </c>
      <c r="E23" s="58"/>
      <c r="F23" s="58"/>
    </row>
    <row r="24" spans="1:17" x14ac:dyDescent="0.25">
      <c r="A24" s="126"/>
      <c r="B24" s="126"/>
      <c r="C24" s="126"/>
      <c r="D24" s="126"/>
      <c r="E24" s="130"/>
      <c r="F24" s="130"/>
      <c r="G24" s="131"/>
    </row>
    <row r="25" spans="1:17" ht="24" x14ac:dyDescent="0.25">
      <c r="A25" s="25" t="s">
        <v>126</v>
      </c>
      <c r="B25" s="32" t="s">
        <v>49</v>
      </c>
      <c r="C25" s="32" t="s">
        <v>16</v>
      </c>
      <c r="D25" s="32" t="s">
        <v>3</v>
      </c>
      <c r="E25" s="55"/>
    </row>
    <row r="26" spans="1:17" ht="24" x14ac:dyDescent="0.25">
      <c r="A26" s="8" t="s">
        <v>226</v>
      </c>
      <c r="B26" s="9">
        <f>(3.8*24*2)-B4*0.06</f>
        <v>44.08</v>
      </c>
      <c r="C26" s="11">
        <f>B26*$D$4</f>
        <v>176.32</v>
      </c>
      <c r="D26" s="11">
        <f>C26*12</f>
        <v>2115.84</v>
      </c>
      <c r="E26" s="60"/>
    </row>
    <row r="27" spans="1:17" ht="24" x14ac:dyDescent="0.25">
      <c r="A27" s="32" t="s">
        <v>127</v>
      </c>
      <c r="B27" s="35">
        <f>SUM(B26:B26)</f>
        <v>44.08</v>
      </c>
      <c r="C27" s="35">
        <f>SUM(C26:C26)</f>
        <v>176.32</v>
      </c>
      <c r="D27" s="35">
        <f>C27*12</f>
        <v>2115.84</v>
      </c>
      <c r="E27" s="59"/>
      <c r="F27" s="59"/>
    </row>
    <row r="28" spans="1:17" x14ac:dyDescent="0.25">
      <c r="A28" s="123"/>
      <c r="B28" s="124"/>
      <c r="C28" s="124"/>
      <c r="D28" s="124"/>
      <c r="E28" s="29"/>
      <c r="F28" s="29"/>
      <c r="G28" s="29"/>
    </row>
    <row r="29" spans="1:17" ht="21.75" customHeight="1" x14ac:dyDescent="0.25">
      <c r="A29" s="25" t="s">
        <v>88</v>
      </c>
      <c r="B29" s="32" t="s">
        <v>49</v>
      </c>
      <c r="C29" s="32" t="s">
        <v>16</v>
      </c>
      <c r="D29" s="32" t="s">
        <v>3</v>
      </c>
      <c r="E29" s="60"/>
    </row>
    <row r="30" spans="1:17" ht="24" x14ac:dyDescent="0.25">
      <c r="A30" s="8" t="s">
        <v>226</v>
      </c>
      <c r="B30" s="9">
        <f>(3.8*24*2)-B5*0.06</f>
        <v>77.459999999999994</v>
      </c>
      <c r="C30" s="11">
        <f t="shared" ref="C30:C35" si="5">B30*$D$5</f>
        <v>619.67999999999995</v>
      </c>
      <c r="D30" s="11">
        <f t="shared" ref="D30:D36" si="6">C30*12</f>
        <v>7436.16</v>
      </c>
      <c r="E30" s="60"/>
    </row>
    <row r="31" spans="1:17" ht="12.75" x14ac:dyDescent="0.25">
      <c r="A31" s="8" t="s">
        <v>43</v>
      </c>
      <c r="B31" s="9">
        <f>700*80%</f>
        <v>560</v>
      </c>
      <c r="C31" s="11">
        <f t="shared" si="5"/>
        <v>4480</v>
      </c>
      <c r="D31" s="11">
        <f t="shared" si="6"/>
        <v>53760</v>
      </c>
      <c r="E31" s="60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12.75" x14ac:dyDescent="0.25">
      <c r="A32" s="8" t="s">
        <v>50</v>
      </c>
      <c r="B32" s="9">
        <v>160</v>
      </c>
      <c r="C32" s="11">
        <f t="shared" si="5"/>
        <v>1280</v>
      </c>
      <c r="D32" s="11">
        <f t="shared" si="6"/>
        <v>15360</v>
      </c>
      <c r="E32" s="60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9" ht="12.75" x14ac:dyDescent="0.25">
      <c r="A33" s="8" t="s">
        <v>233</v>
      </c>
      <c r="B33" s="9">
        <v>81</v>
      </c>
      <c r="C33" s="11">
        <f t="shared" si="5"/>
        <v>648</v>
      </c>
      <c r="D33" s="11">
        <f t="shared" si="6"/>
        <v>7776</v>
      </c>
      <c r="E33" s="60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1:19" ht="12.75" x14ac:dyDescent="0.25">
      <c r="A34" s="8" t="s">
        <v>234</v>
      </c>
      <c r="B34" s="9">
        <v>26</v>
      </c>
      <c r="C34" s="11">
        <f t="shared" si="5"/>
        <v>208</v>
      </c>
      <c r="D34" s="11">
        <f t="shared" si="6"/>
        <v>2496</v>
      </c>
      <c r="E34" s="60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9" ht="12.75" x14ac:dyDescent="0.25">
      <c r="A35" s="68" t="s">
        <v>235</v>
      </c>
      <c r="B35" s="69">
        <v>26</v>
      </c>
      <c r="C35" s="11">
        <f t="shared" si="5"/>
        <v>208</v>
      </c>
      <c r="D35" s="11">
        <f t="shared" si="6"/>
        <v>2496</v>
      </c>
      <c r="E35" s="60"/>
      <c r="F35" s="58"/>
      <c r="G35" s="54"/>
      <c r="H35" s="54"/>
      <c r="I35" s="56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:19" ht="12.75" x14ac:dyDescent="0.25">
      <c r="A36" s="8" t="s">
        <v>236</v>
      </c>
      <c r="B36" s="9">
        <v>700</v>
      </c>
      <c r="C36" s="11">
        <f>(B36/12)*$D$5</f>
        <v>466.67</v>
      </c>
      <c r="D36" s="11">
        <f t="shared" si="6"/>
        <v>5600.04</v>
      </c>
      <c r="E36" s="60"/>
      <c r="F36" s="58"/>
      <c r="G36" s="54"/>
      <c r="H36" s="54"/>
      <c r="I36" s="56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19" ht="14.25" customHeight="1" x14ac:dyDescent="0.25">
      <c r="A37" s="32" t="s">
        <v>124</v>
      </c>
      <c r="B37" s="35">
        <f>SUM(B30:B36)</f>
        <v>1630.46</v>
      </c>
      <c r="C37" s="35">
        <f>SUM(C30:C36)</f>
        <v>7910.35</v>
      </c>
      <c r="D37" s="35">
        <f>C37*12</f>
        <v>94924.2</v>
      </c>
      <c r="E37" s="58"/>
      <c r="F37" s="58"/>
    </row>
    <row r="38" spans="1:19" ht="24" customHeight="1" x14ac:dyDescent="0.25">
      <c r="A38" s="135" t="s">
        <v>8</v>
      </c>
      <c r="B38" s="135"/>
      <c r="C38" s="104">
        <f>F6+C12+C23+C27+C37</f>
        <v>54944.1</v>
      </c>
      <c r="D38" s="104">
        <f>G6+D12+D23+D27+D37</f>
        <v>659329.19999999995</v>
      </c>
      <c r="E38" s="58"/>
      <c r="F38" s="58"/>
    </row>
    <row r="39" spans="1:19" x14ac:dyDescent="0.25">
      <c r="A39" s="136"/>
      <c r="B39" s="136"/>
      <c r="C39" s="136"/>
      <c r="D39" s="136"/>
      <c r="E39" s="136"/>
      <c r="F39" s="136"/>
      <c r="G39" s="136"/>
    </row>
    <row r="40" spans="1:19" ht="12" customHeight="1" x14ac:dyDescent="0.25">
      <c r="A40" s="167" t="s">
        <v>60</v>
      </c>
      <c r="B40" s="167"/>
      <c r="C40" s="167"/>
      <c r="D40" s="167"/>
      <c r="E40" s="58"/>
      <c r="F40" s="58"/>
    </row>
    <row r="41" spans="1:19" ht="24" x14ac:dyDescent="0.25">
      <c r="A41" s="36" t="s">
        <v>59</v>
      </c>
      <c r="B41" s="37" t="s">
        <v>2</v>
      </c>
      <c r="C41" s="37" t="s">
        <v>16</v>
      </c>
      <c r="D41" s="37" t="s">
        <v>3</v>
      </c>
      <c r="E41" s="58"/>
      <c r="F41" s="58"/>
    </row>
    <row r="42" spans="1:19" ht="12.75" x14ac:dyDescent="0.25">
      <c r="A42" s="27" t="s">
        <v>52</v>
      </c>
      <c r="B42" s="30">
        <v>4.1999999999999997E-3</v>
      </c>
      <c r="C42" s="28">
        <f>B42*$F$6</f>
        <v>125.96</v>
      </c>
      <c r="D42" s="28">
        <f>B42*$G$6</f>
        <v>1511.53</v>
      </c>
      <c r="E42" s="55"/>
    </row>
    <row r="43" spans="1:19" ht="12.75" x14ac:dyDescent="0.25">
      <c r="A43" s="27" t="s">
        <v>53</v>
      </c>
      <c r="B43" s="31">
        <v>3.3E-4</v>
      </c>
      <c r="C43" s="28">
        <f t="shared" ref="C43:C47" si="7">B43*$F$6</f>
        <v>9.9</v>
      </c>
      <c r="D43" s="28">
        <f t="shared" ref="D43:D47" si="8">B43*$G$6</f>
        <v>118.76</v>
      </c>
      <c r="E43" s="55"/>
    </row>
    <row r="44" spans="1:19" ht="12.75" x14ac:dyDescent="0.25">
      <c r="A44" s="27" t="s">
        <v>54</v>
      </c>
      <c r="B44" s="31">
        <v>1.6000000000000001E-4</v>
      </c>
      <c r="C44" s="28">
        <f t="shared" si="7"/>
        <v>4.8</v>
      </c>
      <c r="D44" s="28">
        <f t="shared" si="8"/>
        <v>57.58</v>
      </c>
      <c r="E44" s="55"/>
    </row>
    <row r="45" spans="1:19" ht="12.75" x14ac:dyDescent="0.25">
      <c r="A45" s="27" t="s">
        <v>55</v>
      </c>
      <c r="B45" s="30">
        <v>1.9400000000000001E-2</v>
      </c>
      <c r="C45" s="28">
        <f t="shared" si="7"/>
        <v>581.82000000000005</v>
      </c>
      <c r="D45" s="28">
        <f t="shared" si="8"/>
        <v>6981.83</v>
      </c>
      <c r="E45" s="55"/>
    </row>
    <row r="46" spans="1:19" ht="24" x14ac:dyDescent="0.25">
      <c r="A46" s="27" t="s">
        <v>56</v>
      </c>
      <c r="B46" s="30">
        <v>7.1999999999999998E-3</v>
      </c>
      <c r="C46" s="28">
        <f t="shared" si="7"/>
        <v>215.93</v>
      </c>
      <c r="D46" s="28">
        <f t="shared" si="8"/>
        <v>2591.19</v>
      </c>
      <c r="E46" s="55"/>
    </row>
    <row r="47" spans="1:19" ht="12.75" x14ac:dyDescent="0.25">
      <c r="A47" s="27" t="s">
        <v>57</v>
      </c>
      <c r="B47" s="31">
        <v>7.6999999999999996E-4</v>
      </c>
      <c r="C47" s="28">
        <f t="shared" si="7"/>
        <v>23.09</v>
      </c>
      <c r="D47" s="28">
        <f t="shared" si="8"/>
        <v>277.11</v>
      </c>
      <c r="E47" s="55"/>
    </row>
    <row r="48" spans="1:19" ht="15.75" customHeight="1" x14ac:dyDescent="0.25">
      <c r="A48" s="37" t="s">
        <v>67</v>
      </c>
      <c r="B48" s="38">
        <f>SUM(B42:B47)</f>
        <v>3.2099999999999997E-2</v>
      </c>
      <c r="C48" s="39">
        <f>SUM(C42:C47)</f>
        <v>961.5</v>
      </c>
      <c r="D48" s="39">
        <f>C48*12</f>
        <v>11538</v>
      </c>
      <c r="E48" s="58"/>
      <c r="F48" s="58"/>
    </row>
    <row r="49" spans="1:17" s="29" customFormat="1" ht="15.75" customHeight="1" x14ac:dyDescent="0.25">
      <c r="A49" s="157"/>
      <c r="B49" s="158"/>
      <c r="C49" s="158"/>
      <c r="D49" s="158"/>
      <c r="E49" s="136"/>
      <c r="F49" s="136"/>
      <c r="G49" s="136"/>
    </row>
    <row r="50" spans="1:17" ht="14.25" customHeight="1" x14ac:dyDescent="0.25">
      <c r="A50" s="36" t="s">
        <v>61</v>
      </c>
      <c r="B50" s="37" t="s">
        <v>2</v>
      </c>
      <c r="C50" s="37" t="s">
        <v>16</v>
      </c>
      <c r="D50" s="37" t="s">
        <v>3</v>
      </c>
      <c r="E50" s="57"/>
      <c r="F50" s="57"/>
    </row>
    <row r="51" spans="1:17" ht="12.75" x14ac:dyDescent="0.25">
      <c r="A51" s="27" t="s">
        <v>62</v>
      </c>
      <c r="B51" s="30">
        <v>8.3299999999999999E-2</v>
      </c>
      <c r="C51" s="28">
        <f>B51*$F$6</f>
        <v>2498.2199999999998</v>
      </c>
      <c r="D51" s="28">
        <f>B51*$G$6</f>
        <v>29978.68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</row>
    <row r="52" spans="1:17" ht="12.75" customHeight="1" x14ac:dyDescent="0.25">
      <c r="A52" s="27" t="s">
        <v>63</v>
      </c>
      <c r="B52" s="30">
        <v>8.0000000000000004E-4</v>
      </c>
      <c r="C52" s="28">
        <f t="shared" ref="C52:C55" si="9">B52*$F$6</f>
        <v>23.99</v>
      </c>
      <c r="D52" s="28">
        <f t="shared" ref="D52:D55" si="10">B52*$G$6</f>
        <v>287.91000000000003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</row>
    <row r="53" spans="1:17" ht="24" x14ac:dyDescent="0.25">
      <c r="A53" s="27" t="s">
        <v>64</v>
      </c>
      <c r="B53" s="30">
        <v>2.9999999999999997E-4</v>
      </c>
      <c r="C53" s="28">
        <f t="shared" si="9"/>
        <v>9</v>
      </c>
      <c r="D53" s="28">
        <f t="shared" si="10"/>
        <v>107.97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</row>
    <row r="54" spans="1:17" ht="24" x14ac:dyDescent="0.25">
      <c r="A54" s="27" t="s">
        <v>65</v>
      </c>
      <c r="B54" s="30">
        <v>1.2999999999999999E-3</v>
      </c>
      <c r="C54" s="28">
        <f t="shared" si="9"/>
        <v>38.99</v>
      </c>
      <c r="D54" s="28">
        <f t="shared" si="10"/>
        <v>467.85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</row>
    <row r="55" spans="1:17" ht="12.75" x14ac:dyDescent="0.25">
      <c r="A55" s="27" t="s">
        <v>66</v>
      </c>
      <c r="B55" s="30">
        <v>8.2000000000000007E-3</v>
      </c>
      <c r="C55" s="28">
        <f t="shared" si="9"/>
        <v>245.92</v>
      </c>
      <c r="D55" s="28">
        <f t="shared" si="10"/>
        <v>2951.08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x14ac:dyDescent="0.25">
      <c r="A56" s="37" t="s">
        <v>68</v>
      </c>
      <c r="B56" s="38">
        <f>SUM(B51:B55)</f>
        <v>9.3899999999999997E-2</v>
      </c>
      <c r="C56" s="39">
        <f>SUM(C51:C55)</f>
        <v>2816.12</v>
      </c>
      <c r="D56" s="39">
        <f>C56*12</f>
        <v>33793.440000000002</v>
      </c>
      <c r="E56" s="57"/>
      <c r="F56" s="57"/>
    </row>
    <row r="57" spans="1:17" ht="24" customHeight="1" x14ac:dyDescent="0.25">
      <c r="A57" s="137" t="s">
        <v>69</v>
      </c>
      <c r="B57" s="138"/>
      <c r="C57" s="102">
        <f>SUM(C48,C56)</f>
        <v>3777.62</v>
      </c>
      <c r="D57" s="103">
        <f>SUM(D48,D56)</f>
        <v>45331.44</v>
      </c>
      <c r="E57" s="57"/>
      <c r="F57" s="57"/>
    </row>
    <row r="58" spans="1:17" x14ac:dyDescent="0.25">
      <c r="A58" s="157"/>
      <c r="B58" s="158"/>
      <c r="C58" s="158"/>
      <c r="D58" s="158"/>
      <c r="E58" s="159"/>
      <c r="F58" s="159"/>
      <c r="G58" s="136"/>
    </row>
    <row r="59" spans="1:17" ht="14.45" customHeight="1" x14ac:dyDescent="0.25">
      <c r="A59" s="162" t="s">
        <v>158</v>
      </c>
      <c r="B59" s="163"/>
      <c r="C59" s="163"/>
      <c r="D59" s="163"/>
      <c r="E59" s="163"/>
      <c r="F59" s="164"/>
      <c r="G59" s="55"/>
    </row>
    <row r="60" spans="1:17" ht="24" x14ac:dyDescent="0.25">
      <c r="A60" s="40" t="s">
        <v>58</v>
      </c>
      <c r="B60" s="41" t="s">
        <v>130</v>
      </c>
      <c r="C60" s="41" t="s">
        <v>4</v>
      </c>
      <c r="D60" s="41" t="s">
        <v>1</v>
      </c>
      <c r="E60" s="41" t="s">
        <v>16</v>
      </c>
      <c r="F60" s="41" t="s">
        <v>3</v>
      </c>
    </row>
    <row r="61" spans="1:17" x14ac:dyDescent="0.25">
      <c r="A61" s="26" t="s">
        <v>165</v>
      </c>
      <c r="B61" s="3">
        <v>2</v>
      </c>
      <c r="C61" s="80">
        <f>SUM($D$4:$D$5)*B61</f>
        <v>24</v>
      </c>
      <c r="D61" s="24">
        <v>145</v>
      </c>
      <c r="E61" s="4">
        <f>D61*C61/12</f>
        <v>290</v>
      </c>
      <c r="F61" s="4">
        <f>D61*C61</f>
        <v>3480</v>
      </c>
    </row>
    <row r="62" spans="1:17" x14ac:dyDescent="0.25">
      <c r="A62" s="26" t="s">
        <v>203</v>
      </c>
      <c r="B62" s="3">
        <v>4</v>
      </c>
      <c r="C62" s="80">
        <f t="shared" ref="C62:C67" si="11">SUM($D$4:$D$5)*B62</f>
        <v>48</v>
      </c>
      <c r="D62" s="24">
        <v>34</v>
      </c>
      <c r="E62" s="4">
        <f t="shared" ref="E62:E67" si="12">D62*C62/12</f>
        <v>136</v>
      </c>
      <c r="F62" s="4">
        <f t="shared" ref="F62:F67" si="13">D62*C62</f>
        <v>1632</v>
      </c>
    </row>
    <row r="63" spans="1:17" x14ac:dyDescent="0.25">
      <c r="A63" s="26" t="s">
        <v>204</v>
      </c>
      <c r="B63" s="3">
        <v>4</v>
      </c>
      <c r="C63" s="80">
        <f t="shared" si="11"/>
        <v>48</v>
      </c>
      <c r="D63" s="24">
        <v>39.9</v>
      </c>
      <c r="E63" s="4">
        <f t="shared" si="12"/>
        <v>159.6</v>
      </c>
      <c r="F63" s="4">
        <f t="shared" si="13"/>
        <v>1915.2</v>
      </c>
    </row>
    <row r="64" spans="1:17" x14ac:dyDescent="0.25">
      <c r="A64" s="26" t="s">
        <v>166</v>
      </c>
      <c r="B64" s="3">
        <v>2</v>
      </c>
      <c r="C64" s="80">
        <f t="shared" si="11"/>
        <v>24</v>
      </c>
      <c r="D64" s="24">
        <v>59.9</v>
      </c>
      <c r="E64" s="4">
        <f t="shared" si="12"/>
        <v>119.8</v>
      </c>
      <c r="F64" s="4">
        <f t="shared" si="13"/>
        <v>1437.6</v>
      </c>
    </row>
    <row r="65" spans="1:19" x14ac:dyDescent="0.25">
      <c r="A65" s="26" t="s">
        <v>167</v>
      </c>
      <c r="B65" s="3">
        <v>2</v>
      </c>
      <c r="C65" s="80">
        <f t="shared" si="11"/>
        <v>24</v>
      </c>
      <c r="D65" s="24">
        <v>55.96</v>
      </c>
      <c r="E65" s="4">
        <f t="shared" si="12"/>
        <v>111.92</v>
      </c>
      <c r="F65" s="4">
        <f t="shared" si="13"/>
        <v>1343.04</v>
      </c>
    </row>
    <row r="66" spans="1:19" x14ac:dyDescent="0.25">
      <c r="A66" s="26" t="s">
        <v>205</v>
      </c>
      <c r="B66" s="3">
        <v>12</v>
      </c>
      <c r="C66" s="80">
        <f t="shared" si="11"/>
        <v>144</v>
      </c>
      <c r="D66" s="65">
        <v>19.899999999999999</v>
      </c>
      <c r="E66" s="4">
        <f t="shared" si="12"/>
        <v>238.8</v>
      </c>
      <c r="F66" s="4">
        <f t="shared" si="13"/>
        <v>2865.6</v>
      </c>
    </row>
    <row r="67" spans="1:19" x14ac:dyDescent="0.25">
      <c r="A67" s="26" t="s">
        <v>206</v>
      </c>
      <c r="B67" s="3">
        <v>6</v>
      </c>
      <c r="C67" s="80">
        <f t="shared" si="11"/>
        <v>72</v>
      </c>
      <c r="D67" s="24">
        <v>1.66</v>
      </c>
      <c r="E67" s="4">
        <f t="shared" si="12"/>
        <v>9.9600000000000009</v>
      </c>
      <c r="F67" s="4">
        <f t="shared" si="13"/>
        <v>119.52</v>
      </c>
    </row>
    <row r="68" spans="1:19" x14ac:dyDescent="0.25">
      <c r="A68" s="26" t="s">
        <v>207</v>
      </c>
      <c r="B68" s="3">
        <v>2</v>
      </c>
      <c r="C68" s="80">
        <f>$D$5*B68</f>
        <v>16</v>
      </c>
      <c r="D68" s="24">
        <v>11.8</v>
      </c>
      <c r="E68" s="4">
        <f t="shared" ref="E68:E71" si="14">D68*C68/12</f>
        <v>15.73</v>
      </c>
      <c r="F68" s="4">
        <f t="shared" ref="F68:F71" si="15">D68*C68</f>
        <v>188.8</v>
      </c>
    </row>
    <row r="69" spans="1:19" x14ac:dyDescent="0.25">
      <c r="A69" s="26" t="s">
        <v>208</v>
      </c>
      <c r="B69" s="62">
        <v>4</v>
      </c>
      <c r="C69" s="80">
        <f>$D$5*B69</f>
        <v>32</v>
      </c>
      <c r="D69" s="24">
        <v>14.53</v>
      </c>
      <c r="E69" s="63">
        <f t="shared" si="14"/>
        <v>38.75</v>
      </c>
      <c r="F69" s="63">
        <f t="shared" si="15"/>
        <v>464.96</v>
      </c>
    </row>
    <row r="70" spans="1:19" x14ac:dyDescent="0.25">
      <c r="A70" s="26" t="s">
        <v>209</v>
      </c>
      <c r="B70" s="3">
        <v>2</v>
      </c>
      <c r="C70" s="80">
        <f>$D$5*B70</f>
        <v>16</v>
      </c>
      <c r="D70" s="24">
        <v>19.05</v>
      </c>
      <c r="E70" s="4">
        <f t="shared" si="14"/>
        <v>25.4</v>
      </c>
      <c r="F70" s="4">
        <f t="shared" si="15"/>
        <v>304.8</v>
      </c>
    </row>
    <row r="71" spans="1:19" x14ac:dyDescent="0.25">
      <c r="A71" s="26" t="s">
        <v>210</v>
      </c>
      <c r="B71" s="3">
        <v>2</v>
      </c>
      <c r="C71" s="80">
        <f>$D$5*B71</f>
        <v>16</v>
      </c>
      <c r="D71" s="24">
        <v>38.9</v>
      </c>
      <c r="E71" s="4">
        <f t="shared" si="14"/>
        <v>51.87</v>
      </c>
      <c r="F71" s="4">
        <f t="shared" si="15"/>
        <v>622.4</v>
      </c>
    </row>
    <row r="72" spans="1:19" x14ac:dyDescent="0.25">
      <c r="A72" s="6" t="s">
        <v>157</v>
      </c>
      <c r="B72" s="7" t="s">
        <v>16</v>
      </c>
      <c r="C72" s="106">
        <f>SUM(E61:E71)</f>
        <v>1197.83</v>
      </c>
      <c r="D72" s="7" t="s">
        <v>5</v>
      </c>
      <c r="E72" s="141">
        <f>C72*12</f>
        <v>14373.96</v>
      </c>
      <c r="F72" s="142"/>
    </row>
    <row r="73" spans="1:19" x14ac:dyDescent="0.25">
      <c r="A73" s="171"/>
      <c r="B73" s="171"/>
      <c r="C73" s="171"/>
      <c r="D73" s="171"/>
      <c r="E73" s="171"/>
      <c r="F73" s="171"/>
      <c r="G73" s="171"/>
    </row>
    <row r="74" spans="1:19" x14ac:dyDescent="0.25">
      <c r="A74" s="144" t="s">
        <v>215</v>
      </c>
      <c r="B74" s="145"/>
      <c r="C74" s="145"/>
      <c r="D74" s="145"/>
      <c r="E74" s="145"/>
      <c r="F74" s="146"/>
      <c r="G74" s="29"/>
    </row>
    <row r="75" spans="1:19" ht="15" customHeight="1" x14ac:dyDescent="0.25">
      <c r="A75" s="166" t="s">
        <v>159</v>
      </c>
      <c r="B75" s="166"/>
      <c r="C75" s="72" t="s">
        <v>128</v>
      </c>
      <c r="D75" s="72" t="s">
        <v>129</v>
      </c>
      <c r="E75" s="32" t="s">
        <v>16</v>
      </c>
      <c r="F75" s="32" t="s">
        <v>73</v>
      </c>
      <c r="G75" s="169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</row>
    <row r="76" spans="1:19" ht="15" customHeight="1" x14ac:dyDescent="0.25">
      <c r="A76" s="161" t="s">
        <v>162</v>
      </c>
      <c r="B76" s="161"/>
      <c r="C76" s="84">
        <v>303</v>
      </c>
      <c r="D76" s="85">
        <f>AVERAGE(164.36,170,245.5)</f>
        <v>193.29</v>
      </c>
      <c r="E76" s="11">
        <f>D76*C76</f>
        <v>58566.87</v>
      </c>
      <c r="F76" s="11">
        <f>E76*12</f>
        <v>702802.44</v>
      </c>
      <c r="G76" s="169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</row>
    <row r="77" spans="1:19" ht="24" customHeight="1" x14ac:dyDescent="0.25">
      <c r="A77" s="32" t="s">
        <v>160</v>
      </c>
      <c r="B77" s="73" t="s">
        <v>16</v>
      </c>
      <c r="C77" s="105">
        <f>SUM(E76:E76)</f>
        <v>58566.87</v>
      </c>
      <c r="D77" s="73" t="s">
        <v>6</v>
      </c>
      <c r="E77" s="140">
        <f>C77*12</f>
        <v>702802.44</v>
      </c>
      <c r="F77" s="140"/>
      <c r="G77" s="169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</row>
    <row r="78" spans="1:19" x14ac:dyDescent="0.25">
      <c r="A78" s="136"/>
      <c r="B78" s="136"/>
      <c r="C78" s="136"/>
      <c r="D78" s="136"/>
      <c r="E78" s="136"/>
      <c r="F78" s="136"/>
      <c r="G78" s="136"/>
    </row>
    <row r="79" spans="1:19" ht="14.45" customHeight="1" x14ac:dyDescent="0.25">
      <c r="A79" s="181" t="s">
        <v>163</v>
      </c>
      <c r="B79" s="182"/>
      <c r="C79" s="182"/>
      <c r="D79" s="182"/>
      <c r="E79" s="182"/>
      <c r="F79" s="183"/>
      <c r="G79" s="55"/>
    </row>
    <row r="80" spans="1:19" ht="19.5" customHeight="1" x14ac:dyDescent="0.25">
      <c r="A80" s="17" t="s">
        <v>164</v>
      </c>
      <c r="B80" s="5" t="s">
        <v>28</v>
      </c>
      <c r="C80" s="5" t="s">
        <v>123</v>
      </c>
      <c r="D80" s="5" t="s">
        <v>201</v>
      </c>
      <c r="E80" s="5" t="s">
        <v>16</v>
      </c>
      <c r="F80" s="5" t="s">
        <v>6</v>
      </c>
    </row>
    <row r="81" spans="1:7" x14ac:dyDescent="0.25">
      <c r="A81" s="70" t="str">
        <f>'ITEM 02 - VEÍCULOS'!B4</f>
        <v>A - Veículo coletor (LIXO ORGÂNICO)</v>
      </c>
      <c r="B81" s="2">
        <f>'ITEM 02 - VEÍCULOS'!F5</f>
        <v>7677.93</v>
      </c>
      <c r="C81" s="2">
        <f>B81*12</f>
        <v>92135.16</v>
      </c>
      <c r="D81" s="83">
        <f>'ITEM 02 - VEÍCULOS'!F22</f>
        <v>3.87</v>
      </c>
      <c r="E81" s="15">
        <f>B81*D81</f>
        <v>29713.59</v>
      </c>
      <c r="F81" s="15">
        <f>C81*D81</f>
        <v>356563.07</v>
      </c>
    </row>
    <row r="82" spans="1:7" x14ac:dyDescent="0.25">
      <c r="A82" s="70" t="str">
        <f>'ITEM 02 - VEÍCULOS'!B24</f>
        <v>B - Veículo coletor (LIXO RECICLÁVEL)</v>
      </c>
      <c r="B82" s="2">
        <f>'ITEM 02 - VEÍCULOS'!F25</f>
        <v>2311.5300000000002</v>
      </c>
      <c r="C82" s="2">
        <f t="shared" ref="C82" si="16">B82*12</f>
        <v>27738.36</v>
      </c>
      <c r="D82" s="83">
        <f>'ITEM 02 - VEÍCULOS'!F42</f>
        <v>8.6</v>
      </c>
      <c r="E82" s="15">
        <f>B82*D82</f>
        <v>19879.16</v>
      </c>
      <c r="F82" s="15">
        <f t="shared" ref="F82" si="17">C82*D82</f>
        <v>238549.9</v>
      </c>
    </row>
    <row r="83" spans="1:7" x14ac:dyDescent="0.25">
      <c r="A83" s="12" t="s">
        <v>71</v>
      </c>
      <c r="B83" s="13" t="s">
        <v>16</v>
      </c>
      <c r="C83" s="107">
        <f>SUM(E81:E82)</f>
        <v>49592.75</v>
      </c>
      <c r="D83" s="14" t="s">
        <v>6</v>
      </c>
      <c r="E83" s="185">
        <f>C83*12</f>
        <v>595113</v>
      </c>
      <c r="F83" s="185"/>
    </row>
    <row r="84" spans="1:7" x14ac:dyDescent="0.25">
      <c r="A84" s="136"/>
      <c r="B84" s="136"/>
      <c r="C84" s="136"/>
      <c r="D84" s="136"/>
      <c r="E84" s="136"/>
      <c r="F84" s="136"/>
      <c r="G84" s="136"/>
    </row>
    <row r="85" spans="1:7" ht="12.75" x14ac:dyDescent="0.25">
      <c r="A85" s="165" t="s">
        <v>173</v>
      </c>
      <c r="B85" s="165"/>
      <c r="C85" s="165"/>
      <c r="D85" s="165"/>
      <c r="E85" s="165"/>
      <c r="F85" s="165"/>
      <c r="G85" s="55"/>
    </row>
    <row r="86" spans="1:7" x14ac:dyDescent="0.25">
      <c r="A86" s="168" t="s">
        <v>175</v>
      </c>
      <c r="B86" s="168" t="s">
        <v>74</v>
      </c>
      <c r="C86" s="160" t="s">
        <v>16</v>
      </c>
      <c r="D86" s="160"/>
      <c r="E86" s="160" t="s">
        <v>3</v>
      </c>
      <c r="F86" s="160"/>
    </row>
    <row r="87" spans="1:7" ht="12" customHeight="1" x14ac:dyDescent="0.25">
      <c r="A87" s="147" t="s">
        <v>85</v>
      </c>
      <c r="B87" s="147"/>
      <c r="C87" s="122">
        <f>SUM(C38,C57,C72,C77,C83)</f>
        <v>168079.17</v>
      </c>
      <c r="D87" s="122"/>
      <c r="E87" s="122">
        <f>C87*12</f>
        <v>2016950.04</v>
      </c>
      <c r="F87" s="122"/>
    </row>
    <row r="88" spans="1:7" ht="12" customHeight="1" x14ac:dyDescent="0.25">
      <c r="A88" s="147"/>
      <c r="B88" s="147"/>
      <c r="C88" s="122"/>
      <c r="D88" s="122"/>
      <c r="E88" s="122"/>
      <c r="F88" s="122"/>
    </row>
    <row r="89" spans="1:7" ht="12.75" x14ac:dyDescent="0.25">
      <c r="A89" s="46" t="s">
        <v>83</v>
      </c>
      <c r="B89" s="53">
        <v>0.03</v>
      </c>
      <c r="C89" s="143">
        <f>C87*B89</f>
        <v>5042.38</v>
      </c>
      <c r="D89" s="143"/>
      <c r="E89" s="143">
        <f>C89*12</f>
        <v>60508.56</v>
      </c>
      <c r="F89" s="143"/>
      <c r="G89" s="55"/>
    </row>
    <row r="90" spans="1:7" ht="12" customHeight="1" x14ac:dyDescent="0.25">
      <c r="A90" s="154" t="s">
        <v>86</v>
      </c>
      <c r="B90" s="154"/>
      <c r="C90" s="122">
        <f>C87+C89</f>
        <v>173121.55</v>
      </c>
      <c r="D90" s="122"/>
      <c r="E90" s="122">
        <f>E87+E89</f>
        <v>2077458.6</v>
      </c>
      <c r="F90" s="122"/>
    </row>
    <row r="91" spans="1:7" ht="12" customHeight="1" x14ac:dyDescent="0.25">
      <c r="A91" s="154"/>
      <c r="B91" s="154"/>
      <c r="C91" s="122"/>
      <c r="D91" s="122"/>
      <c r="E91" s="122"/>
      <c r="F91" s="122"/>
    </row>
    <row r="92" spans="1:7" ht="12.75" x14ac:dyDescent="0.25">
      <c r="A92" s="46" t="s">
        <v>75</v>
      </c>
      <c r="B92" s="53">
        <v>6.7900000000000002E-2</v>
      </c>
      <c r="C92" s="143">
        <f>C90*B92</f>
        <v>11754.95</v>
      </c>
      <c r="D92" s="143"/>
      <c r="E92" s="143">
        <f>C92*12</f>
        <v>141059.4</v>
      </c>
      <c r="F92" s="143"/>
      <c r="G92" s="55"/>
    </row>
    <row r="93" spans="1:7" x14ac:dyDescent="0.25">
      <c r="A93" s="156" t="s">
        <v>76</v>
      </c>
      <c r="B93" s="156"/>
      <c r="C93" s="156"/>
      <c r="D93" s="156"/>
      <c r="E93" s="47"/>
      <c r="F93" s="48"/>
    </row>
    <row r="94" spans="1:7" x14ac:dyDescent="0.25">
      <c r="A94" s="147" t="s">
        <v>77</v>
      </c>
      <c r="B94" s="147"/>
      <c r="C94" s="148">
        <f>C92+C89+C87</f>
        <v>184876.5</v>
      </c>
      <c r="D94" s="148"/>
      <c r="E94" s="148">
        <f>E92+E89+E87</f>
        <v>2218518</v>
      </c>
      <c r="F94" s="148"/>
    </row>
    <row r="95" spans="1:7" ht="12.75" customHeight="1" x14ac:dyDescent="0.25">
      <c r="A95" s="154" t="s">
        <v>78</v>
      </c>
      <c r="B95" s="154"/>
      <c r="C95" s="154"/>
      <c r="D95" s="154"/>
      <c r="E95" s="154"/>
      <c r="F95" s="154"/>
    </row>
    <row r="96" spans="1:7" ht="12.75" x14ac:dyDescent="0.25">
      <c r="A96" s="187" t="s">
        <v>79</v>
      </c>
      <c r="B96" s="188"/>
      <c r="C96" s="153" t="s">
        <v>16</v>
      </c>
      <c r="D96" s="153"/>
      <c r="E96" s="153" t="s">
        <v>3</v>
      </c>
      <c r="F96" s="153"/>
      <c r="G96" s="55"/>
    </row>
    <row r="97" spans="1:8" ht="12.75" x14ac:dyDescent="0.25">
      <c r="A97" s="50" t="s">
        <v>80</v>
      </c>
      <c r="B97" s="53">
        <v>7.5999999999999998E-2</v>
      </c>
      <c r="C97" s="143">
        <f>($C$94)*B97/(1-($B$100))</f>
        <v>16385.560000000001</v>
      </c>
      <c r="D97" s="143"/>
      <c r="E97" s="143">
        <f>C97*12</f>
        <v>196626.72</v>
      </c>
      <c r="F97" s="143"/>
      <c r="G97" s="55"/>
    </row>
    <row r="98" spans="1:8" ht="12.75" x14ac:dyDescent="0.25">
      <c r="A98" s="50" t="s">
        <v>81</v>
      </c>
      <c r="B98" s="53">
        <v>1.6500000000000001E-2</v>
      </c>
      <c r="C98" s="143">
        <f t="shared" ref="C98:C99" si="18">($C$94)*B98/(1-($B$100))</f>
        <v>3557.39</v>
      </c>
      <c r="D98" s="143"/>
      <c r="E98" s="143">
        <f t="shared" ref="E98:E99" si="19">C98*12</f>
        <v>42688.68</v>
      </c>
      <c r="F98" s="143"/>
      <c r="G98" s="55"/>
    </row>
    <row r="99" spans="1:8" ht="12.75" x14ac:dyDescent="0.25">
      <c r="A99" s="50" t="s">
        <v>84</v>
      </c>
      <c r="B99" s="53">
        <v>0.05</v>
      </c>
      <c r="C99" s="143">
        <f t="shared" si="18"/>
        <v>10779.97</v>
      </c>
      <c r="D99" s="143"/>
      <c r="E99" s="143">
        <f t="shared" si="19"/>
        <v>129359.64</v>
      </c>
      <c r="F99" s="143"/>
      <c r="G99" s="55"/>
    </row>
    <row r="100" spans="1:8" x14ac:dyDescent="0.25">
      <c r="A100" s="51" t="s">
        <v>82</v>
      </c>
      <c r="B100" s="52">
        <f>SUM(B97:B99)</f>
        <v>0.14249999999999999</v>
      </c>
      <c r="C100" s="143">
        <f>SUM(C97:D99)</f>
        <v>30722.92</v>
      </c>
      <c r="D100" s="143"/>
      <c r="E100" s="143">
        <f>SUM(E97:F99)</f>
        <v>368675.04</v>
      </c>
      <c r="F100" s="143"/>
    </row>
    <row r="101" spans="1:8" x14ac:dyDescent="0.25">
      <c r="A101" s="155" t="s">
        <v>174</v>
      </c>
      <c r="B101" s="155"/>
      <c r="C101" s="152">
        <f>C89+C92+C100</f>
        <v>47520.25</v>
      </c>
      <c r="D101" s="152"/>
      <c r="E101" s="152">
        <f>C101*12</f>
        <v>570243</v>
      </c>
      <c r="F101" s="152"/>
    </row>
    <row r="102" spans="1:8" x14ac:dyDescent="0.25">
      <c r="A102" s="136"/>
      <c r="B102" s="136"/>
      <c r="C102" s="136"/>
      <c r="D102" s="136"/>
      <c r="E102" s="136"/>
      <c r="F102" s="136"/>
      <c r="G102" s="136"/>
    </row>
    <row r="103" spans="1:8" ht="14.45" customHeight="1" x14ac:dyDescent="0.25">
      <c r="A103" s="139" t="s">
        <v>87</v>
      </c>
      <c r="B103" s="139" t="s">
        <v>16</v>
      </c>
      <c r="C103" s="139"/>
      <c r="D103" s="149" t="s">
        <v>6</v>
      </c>
      <c r="E103" s="150"/>
      <c r="F103" s="151"/>
    </row>
    <row r="104" spans="1:8" x14ac:dyDescent="0.25">
      <c r="A104" s="139"/>
      <c r="B104" s="43" t="s">
        <v>9</v>
      </c>
      <c r="C104" s="44">
        <f>C38</f>
        <v>54944.1</v>
      </c>
      <c r="D104" s="43" t="s">
        <v>9</v>
      </c>
      <c r="E104" s="121">
        <f>D38</f>
        <v>659329.19999999995</v>
      </c>
      <c r="F104" s="121"/>
      <c r="G104" s="61"/>
      <c r="H104" s="61"/>
    </row>
    <row r="105" spans="1:8" x14ac:dyDescent="0.25">
      <c r="A105" s="139"/>
      <c r="B105" s="43" t="s">
        <v>10</v>
      </c>
      <c r="C105" s="44">
        <f>C57</f>
        <v>3777.62</v>
      </c>
      <c r="D105" s="43" t="s">
        <v>10</v>
      </c>
      <c r="E105" s="121">
        <f>D57</f>
        <v>45331.44</v>
      </c>
      <c r="F105" s="121"/>
      <c r="G105" s="61"/>
      <c r="H105" s="61"/>
    </row>
    <row r="106" spans="1:8" x14ac:dyDescent="0.25">
      <c r="A106" s="139"/>
      <c r="B106" s="43" t="s">
        <v>11</v>
      </c>
      <c r="C106" s="44">
        <f>C72</f>
        <v>1197.83</v>
      </c>
      <c r="D106" s="43" t="s">
        <v>11</v>
      </c>
      <c r="E106" s="121">
        <f>E72</f>
        <v>14373.96</v>
      </c>
      <c r="F106" s="121"/>
      <c r="G106" s="61"/>
      <c r="H106" s="61"/>
    </row>
    <row r="107" spans="1:8" x14ac:dyDescent="0.25">
      <c r="A107" s="139"/>
      <c r="B107" s="43" t="s">
        <v>12</v>
      </c>
      <c r="C107" s="44">
        <f>C77</f>
        <v>58566.87</v>
      </c>
      <c r="D107" s="43" t="s">
        <v>12</v>
      </c>
      <c r="E107" s="121">
        <f>E77</f>
        <v>702802.44</v>
      </c>
      <c r="F107" s="121"/>
      <c r="G107" s="61"/>
      <c r="H107" s="61"/>
    </row>
    <row r="108" spans="1:8" x14ac:dyDescent="0.25">
      <c r="A108" s="139"/>
      <c r="B108" s="43" t="s">
        <v>72</v>
      </c>
      <c r="C108" s="44">
        <f>C83</f>
        <v>49592.75</v>
      </c>
      <c r="D108" s="43" t="s">
        <v>72</v>
      </c>
      <c r="E108" s="121">
        <f>E83</f>
        <v>595113</v>
      </c>
      <c r="F108" s="121"/>
      <c r="G108" s="61"/>
      <c r="H108" s="61"/>
    </row>
    <row r="109" spans="1:8" x14ac:dyDescent="0.25">
      <c r="A109" s="139"/>
      <c r="B109" s="43" t="s">
        <v>161</v>
      </c>
      <c r="C109" s="44">
        <f>C101</f>
        <v>47520.25</v>
      </c>
      <c r="D109" s="43" t="s">
        <v>161</v>
      </c>
      <c r="E109" s="121">
        <f>E101</f>
        <v>570243</v>
      </c>
      <c r="F109" s="121"/>
      <c r="G109" s="61"/>
      <c r="H109" s="61"/>
    </row>
    <row r="110" spans="1:8" x14ac:dyDescent="0.25">
      <c r="A110" s="139"/>
      <c r="B110" s="42" t="s">
        <v>38</v>
      </c>
      <c r="C110" s="45">
        <f>SUM(C104:C109)</f>
        <v>215599.42</v>
      </c>
      <c r="D110" s="42" t="s">
        <v>73</v>
      </c>
      <c r="E110" s="186">
        <f>SUM(E104:E109)</f>
        <v>2587193.04</v>
      </c>
      <c r="F110" s="186"/>
    </row>
    <row r="111" spans="1:8" ht="14.45" hidden="1" customHeight="1" x14ac:dyDescent="0.25">
      <c r="A111" s="184" t="s">
        <v>13</v>
      </c>
      <c r="B111" s="184"/>
      <c r="C111" s="172" t="s">
        <v>14</v>
      </c>
      <c r="D111" s="173"/>
      <c r="E111" s="173"/>
      <c r="F111" s="174"/>
    </row>
    <row r="112" spans="1:8" hidden="1" x14ac:dyDescent="0.25">
      <c r="A112" s="184"/>
      <c r="B112" s="184"/>
      <c r="C112" s="175"/>
      <c r="D112" s="176"/>
      <c r="E112" s="176"/>
      <c r="F112" s="177"/>
    </row>
    <row r="113" spans="1:12" ht="12" hidden="1" customHeight="1" x14ac:dyDescent="0.25">
      <c r="A113" s="184"/>
      <c r="B113" s="184"/>
      <c r="C113" s="178"/>
      <c r="D113" s="179"/>
      <c r="E113" s="179"/>
      <c r="F113" s="180"/>
    </row>
    <row r="114" spans="1:12" x14ac:dyDescent="0.25">
      <c r="L114" s="16"/>
    </row>
  </sheetData>
  <mergeCells count="71">
    <mergeCell ref="C111:F113"/>
    <mergeCell ref="A95:F95"/>
    <mergeCell ref="A79:F79"/>
    <mergeCell ref="A111:B113"/>
    <mergeCell ref="E83:F83"/>
    <mergeCell ref="E106:F106"/>
    <mergeCell ref="E108:F108"/>
    <mergeCell ref="E109:F109"/>
    <mergeCell ref="E110:F110"/>
    <mergeCell ref="A87:B88"/>
    <mergeCell ref="C96:D96"/>
    <mergeCell ref="C97:D97"/>
    <mergeCell ref="C98:D98"/>
    <mergeCell ref="C99:D99"/>
    <mergeCell ref="A96:B96"/>
    <mergeCell ref="C101:D101"/>
    <mergeCell ref="A39:G39"/>
    <mergeCell ref="A49:G49"/>
    <mergeCell ref="A58:G58"/>
    <mergeCell ref="E86:F86"/>
    <mergeCell ref="E87:F88"/>
    <mergeCell ref="A76:B76"/>
    <mergeCell ref="A59:F59"/>
    <mergeCell ref="A85:F85"/>
    <mergeCell ref="A84:G84"/>
    <mergeCell ref="A75:B75"/>
    <mergeCell ref="A40:D40"/>
    <mergeCell ref="C86:D86"/>
    <mergeCell ref="C87:D88"/>
    <mergeCell ref="A86:B86"/>
    <mergeCell ref="G75:S77"/>
    <mergeCell ref="A73:G73"/>
    <mergeCell ref="A103:A110"/>
    <mergeCell ref="A102:G102"/>
    <mergeCell ref="E105:F105"/>
    <mergeCell ref="E89:F89"/>
    <mergeCell ref="A90:B91"/>
    <mergeCell ref="C89:D89"/>
    <mergeCell ref="C90:D91"/>
    <mergeCell ref="A101:B101"/>
    <mergeCell ref="E94:F94"/>
    <mergeCell ref="E97:F97"/>
    <mergeCell ref="E98:F98"/>
    <mergeCell ref="C92:D92"/>
    <mergeCell ref="A93:D93"/>
    <mergeCell ref="D103:F103"/>
    <mergeCell ref="E99:F99"/>
    <mergeCell ref="E100:F100"/>
    <mergeCell ref="E101:F101"/>
    <mergeCell ref="E96:F96"/>
    <mergeCell ref="E92:F92"/>
    <mergeCell ref="A74:F74"/>
    <mergeCell ref="C100:D100"/>
    <mergeCell ref="A94:B94"/>
    <mergeCell ref="C94:D94"/>
    <mergeCell ref="E104:F104"/>
    <mergeCell ref="E90:F91"/>
    <mergeCell ref="E107:F107"/>
    <mergeCell ref="A28:D28"/>
    <mergeCell ref="A1:G1"/>
    <mergeCell ref="A7:G7"/>
    <mergeCell ref="A2:G2"/>
    <mergeCell ref="A13:G13"/>
    <mergeCell ref="A24:G24"/>
    <mergeCell ref="A6:E6"/>
    <mergeCell ref="A38:B38"/>
    <mergeCell ref="A78:G78"/>
    <mergeCell ref="A57:B57"/>
    <mergeCell ref="B103:C103"/>
    <mergeCell ref="E77:F77"/>
    <mergeCell ref="E72:F72"/>
  </mergeCells>
  <phoneticPr fontId="1" type="noConversion"/>
  <pageMargins left="0.25" right="0.25" top="0.75" bottom="0.75" header="0.3" footer="0.3"/>
  <pageSetup paperSize="9" scale="41" orientation="portrait" r:id="rId1"/>
  <ignoredErrors>
    <ignoredError sqref="C6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DD148-F17A-4776-A87D-DA6D7D1B7E96}">
  <sheetPr>
    <pageSetUpPr fitToPage="1"/>
  </sheetPr>
  <dimension ref="A1:P68"/>
  <sheetViews>
    <sheetView workbookViewId="0">
      <selection activeCell="A6" sqref="A6"/>
    </sheetView>
  </sheetViews>
  <sheetFormatPr defaultColWidth="8.85546875" defaultRowHeight="12" x14ac:dyDescent="0.25"/>
  <cols>
    <col min="1" max="1" width="37.7109375" style="1" customWidth="1"/>
    <col min="2" max="2" width="12" style="1" customWidth="1"/>
    <col min="3" max="3" width="8.140625" style="1" customWidth="1"/>
    <col min="4" max="4" width="9.42578125" style="1" customWidth="1"/>
    <col min="5" max="5" width="13.140625" style="1" customWidth="1"/>
    <col min="6" max="6" width="5.7109375" style="1" customWidth="1"/>
    <col min="7" max="7" width="10" style="1" customWidth="1"/>
    <col min="8" max="9" width="9.140625" style="1" bestFit="1" customWidth="1"/>
    <col min="10" max="12" width="8.85546875" style="1"/>
    <col min="13" max="13" width="10" style="1" bestFit="1" customWidth="1"/>
    <col min="14" max="16384" width="8.85546875" style="1"/>
  </cols>
  <sheetData>
    <row r="1" spans="1:13" ht="6" customHeight="1" x14ac:dyDescent="0.25">
      <c r="A1" s="129" t="s">
        <v>216</v>
      </c>
      <c r="B1" s="129"/>
      <c r="C1" s="129"/>
      <c r="D1" s="129"/>
      <c r="E1" s="129"/>
      <c r="F1" s="129"/>
      <c r="G1" s="129"/>
    </row>
    <row r="2" spans="1:13" ht="12" customHeight="1" x14ac:dyDescent="0.25">
      <c r="A2" s="129"/>
      <c r="B2" s="129"/>
      <c r="C2" s="129"/>
      <c r="D2" s="129"/>
      <c r="E2" s="129"/>
      <c r="F2" s="129"/>
      <c r="G2" s="129"/>
    </row>
    <row r="3" spans="1:13" x14ac:dyDescent="0.25">
      <c r="A3" s="129" t="s">
        <v>51</v>
      </c>
      <c r="B3" s="129"/>
      <c r="C3" s="129"/>
      <c r="D3" s="129"/>
      <c r="E3" s="129"/>
      <c r="F3" s="129"/>
      <c r="G3" s="129"/>
    </row>
    <row r="4" spans="1:13" ht="24" customHeight="1" x14ac:dyDescent="0.25">
      <c r="A4" s="189" t="s">
        <v>15</v>
      </c>
      <c r="B4" s="189"/>
      <c r="C4" s="189"/>
      <c r="D4" s="189"/>
      <c r="E4" s="189"/>
      <c r="F4" s="189"/>
      <c r="G4" s="189"/>
    </row>
    <row r="5" spans="1:13" ht="12.75" x14ac:dyDescent="0.25">
      <c r="A5" s="8" t="s">
        <v>125</v>
      </c>
      <c r="B5" s="190" t="s">
        <v>199</v>
      </c>
      <c r="C5" s="190"/>
      <c r="D5" s="190"/>
      <c r="E5" s="190"/>
      <c r="F5" s="190"/>
      <c r="G5" s="190"/>
    </row>
    <row r="6" spans="1:13" ht="28.5" customHeight="1" x14ac:dyDescent="0.25">
      <c r="A6" s="8" t="s">
        <v>229</v>
      </c>
      <c r="B6" s="191" t="s">
        <v>228</v>
      </c>
      <c r="C6" s="191"/>
      <c r="D6" s="191"/>
      <c r="E6" s="191"/>
      <c r="F6" s="191"/>
      <c r="G6" s="191"/>
    </row>
    <row r="7" spans="1:13" ht="12.75" x14ac:dyDescent="0.25">
      <c r="A7" s="8" t="s">
        <v>227</v>
      </c>
      <c r="B7" s="190" t="s">
        <v>190</v>
      </c>
      <c r="C7" s="190"/>
      <c r="D7" s="190"/>
      <c r="E7" s="190"/>
      <c r="F7" s="190"/>
      <c r="G7" s="190"/>
    </row>
    <row r="8" spans="1:13" ht="12.75" x14ac:dyDescent="0.25">
      <c r="A8" s="8" t="s">
        <v>230</v>
      </c>
      <c r="B8" s="190" t="s">
        <v>231</v>
      </c>
      <c r="C8" s="190"/>
      <c r="D8" s="190"/>
      <c r="E8" s="190"/>
      <c r="F8" s="190"/>
      <c r="G8" s="190"/>
    </row>
    <row r="9" spans="1:13" x14ac:dyDescent="0.25">
      <c r="A9" s="130"/>
      <c r="B9" s="130"/>
      <c r="C9" s="130"/>
      <c r="D9" s="130"/>
      <c r="E9" s="130"/>
      <c r="F9" s="131"/>
    </row>
    <row r="10" spans="1:13" ht="15.75" customHeight="1" x14ac:dyDescent="0.25">
      <c r="A10" s="189" t="s">
        <v>39</v>
      </c>
      <c r="B10" s="189"/>
      <c r="C10" s="189"/>
      <c r="D10" s="189"/>
      <c r="E10" s="189"/>
      <c r="F10" s="189"/>
      <c r="G10" s="189"/>
    </row>
    <row r="11" spans="1:13" ht="23.25" customHeight="1" x14ac:dyDescent="0.25">
      <c r="A11" s="8" t="s">
        <v>45</v>
      </c>
      <c r="B11" s="191" t="s">
        <v>89</v>
      </c>
      <c r="C11" s="191"/>
      <c r="D11" s="191"/>
      <c r="E11" s="191"/>
      <c r="F11" s="191"/>
      <c r="G11" s="191"/>
      <c r="H11" s="55"/>
      <c r="I11" s="55"/>
      <c r="J11" s="55"/>
      <c r="K11" s="55"/>
      <c r="L11" s="55"/>
      <c r="M11" s="55"/>
    </row>
    <row r="12" spans="1:13" ht="12.75" x14ac:dyDescent="0.25">
      <c r="A12" s="8" t="s">
        <v>46</v>
      </c>
      <c r="B12" s="191" t="s">
        <v>191</v>
      </c>
      <c r="C12" s="191"/>
      <c r="D12" s="191"/>
      <c r="E12" s="191"/>
      <c r="F12" s="191"/>
      <c r="G12" s="191"/>
      <c r="H12" s="55"/>
      <c r="I12" s="55"/>
      <c r="J12" s="55"/>
      <c r="K12" s="55"/>
      <c r="L12" s="55"/>
      <c r="M12" s="55"/>
    </row>
    <row r="13" spans="1:13" ht="12.75" x14ac:dyDescent="0.25">
      <c r="A13" s="8" t="s">
        <v>47</v>
      </c>
      <c r="B13" s="191" t="s">
        <v>90</v>
      </c>
      <c r="C13" s="191"/>
      <c r="D13" s="191"/>
      <c r="E13" s="191"/>
      <c r="F13" s="191"/>
      <c r="G13" s="191"/>
      <c r="H13" s="55"/>
      <c r="I13" s="55"/>
      <c r="J13" s="55"/>
      <c r="K13" s="55"/>
      <c r="L13" s="55"/>
      <c r="M13" s="55"/>
    </row>
    <row r="14" spans="1:13" x14ac:dyDescent="0.25">
      <c r="A14" s="130"/>
      <c r="B14" s="130"/>
      <c r="C14" s="130"/>
      <c r="D14" s="130"/>
      <c r="E14" s="130"/>
      <c r="F14" s="131"/>
    </row>
    <row r="15" spans="1:13" ht="12.75" customHeight="1" x14ac:dyDescent="0.25">
      <c r="A15" s="189" t="s">
        <v>41</v>
      </c>
      <c r="B15" s="189"/>
      <c r="C15" s="189"/>
      <c r="D15" s="189"/>
      <c r="E15" s="189"/>
      <c r="F15" s="189"/>
      <c r="G15" s="189"/>
      <c r="H15" s="55"/>
      <c r="I15" s="55"/>
      <c r="J15" s="55"/>
      <c r="K15" s="55"/>
      <c r="L15" s="55"/>
      <c r="M15" s="55"/>
    </row>
    <row r="16" spans="1:13" ht="12.75" x14ac:dyDescent="0.25">
      <c r="A16" s="8" t="s">
        <v>48</v>
      </c>
      <c r="B16" s="190" t="s">
        <v>98</v>
      </c>
      <c r="C16" s="190"/>
      <c r="D16" s="190"/>
      <c r="E16" s="190"/>
      <c r="F16" s="190"/>
      <c r="G16" s="190"/>
      <c r="H16" s="55"/>
      <c r="I16" s="55"/>
      <c r="J16" s="55"/>
      <c r="K16" s="55"/>
      <c r="L16" s="55"/>
      <c r="M16" s="55"/>
    </row>
    <row r="17" spans="1:14" ht="24" customHeight="1" x14ac:dyDescent="0.25">
      <c r="A17" s="8" t="s">
        <v>91</v>
      </c>
      <c r="B17" s="191" t="s">
        <v>99</v>
      </c>
      <c r="C17" s="191"/>
      <c r="D17" s="191"/>
      <c r="E17" s="191"/>
      <c r="F17" s="191"/>
      <c r="G17" s="191"/>
      <c r="H17" s="55"/>
      <c r="I17" s="55"/>
      <c r="J17" s="55"/>
      <c r="K17" s="55"/>
      <c r="L17" s="55"/>
      <c r="M17" s="55"/>
    </row>
    <row r="18" spans="1:14" ht="43.5" customHeight="1" x14ac:dyDescent="0.25">
      <c r="A18" s="8" t="s">
        <v>92</v>
      </c>
      <c r="B18" s="191" t="s">
        <v>100</v>
      </c>
      <c r="C18" s="191"/>
      <c r="D18" s="191"/>
      <c r="E18" s="191"/>
      <c r="F18" s="191"/>
      <c r="G18" s="191"/>
      <c r="H18" s="55"/>
      <c r="I18" s="55"/>
      <c r="J18" s="55"/>
      <c r="K18" s="55"/>
      <c r="L18" s="55"/>
      <c r="M18" s="55"/>
    </row>
    <row r="19" spans="1:14" ht="12.75" x14ac:dyDescent="0.25">
      <c r="A19" s="8" t="s">
        <v>93</v>
      </c>
      <c r="B19" s="190" t="s">
        <v>101</v>
      </c>
      <c r="C19" s="190"/>
      <c r="D19" s="190"/>
      <c r="E19" s="190"/>
      <c r="F19" s="190"/>
      <c r="G19" s="190"/>
      <c r="H19" s="55"/>
      <c r="I19" s="55"/>
      <c r="J19" s="55"/>
      <c r="K19" s="55"/>
      <c r="L19" s="55"/>
      <c r="M19" s="55"/>
    </row>
    <row r="20" spans="1:14" ht="12.75" x14ac:dyDescent="0.25">
      <c r="A20" s="8" t="s">
        <v>94</v>
      </c>
      <c r="B20" s="190" t="s">
        <v>102</v>
      </c>
      <c r="C20" s="190"/>
      <c r="D20" s="190"/>
      <c r="E20" s="190"/>
      <c r="F20" s="190"/>
      <c r="G20" s="190"/>
      <c r="H20" s="55"/>
      <c r="I20" s="55"/>
      <c r="J20" s="55"/>
      <c r="K20" s="55"/>
      <c r="L20" s="55"/>
      <c r="M20" s="55"/>
    </row>
    <row r="21" spans="1:14" ht="12.75" customHeight="1" x14ac:dyDescent="0.25">
      <c r="A21" s="8" t="s">
        <v>95</v>
      </c>
      <c r="B21" s="190" t="s">
        <v>103</v>
      </c>
      <c r="C21" s="190"/>
      <c r="D21" s="190"/>
      <c r="E21" s="190"/>
      <c r="F21" s="190"/>
      <c r="G21" s="190"/>
      <c r="H21" s="55"/>
      <c r="I21" s="55"/>
      <c r="J21" s="55"/>
      <c r="K21" s="55"/>
      <c r="L21" s="55"/>
      <c r="M21" s="55"/>
    </row>
    <row r="22" spans="1:14" ht="12.75" customHeight="1" x14ac:dyDescent="0.25">
      <c r="A22" s="8" t="s">
        <v>96</v>
      </c>
      <c r="B22" s="190" t="s">
        <v>104</v>
      </c>
      <c r="C22" s="190"/>
      <c r="D22" s="190"/>
      <c r="E22" s="190"/>
      <c r="F22" s="190"/>
      <c r="G22" s="190"/>
      <c r="H22" s="55"/>
      <c r="I22" s="55"/>
      <c r="J22" s="55"/>
      <c r="K22" s="55"/>
      <c r="L22" s="55"/>
      <c r="M22" s="55"/>
    </row>
    <row r="23" spans="1:14" ht="27.75" customHeight="1" x14ac:dyDescent="0.25">
      <c r="A23" s="8" t="s">
        <v>97</v>
      </c>
      <c r="B23" s="191" t="s">
        <v>105</v>
      </c>
      <c r="C23" s="191"/>
      <c r="D23" s="191"/>
      <c r="E23" s="191"/>
      <c r="F23" s="191"/>
      <c r="G23" s="191"/>
      <c r="H23" s="55"/>
      <c r="I23" s="55"/>
      <c r="J23" s="55"/>
      <c r="K23" s="55"/>
      <c r="L23" s="55"/>
      <c r="M23" s="55"/>
    </row>
    <row r="24" spans="1:14" x14ac:dyDescent="0.25">
      <c r="A24" s="127"/>
      <c r="B24" s="130"/>
      <c r="C24" s="130"/>
      <c r="D24" s="130"/>
      <c r="E24" s="130"/>
      <c r="F24" s="131"/>
    </row>
    <row r="25" spans="1:14" x14ac:dyDescent="0.25">
      <c r="A25" s="189" t="s">
        <v>200</v>
      </c>
      <c r="B25" s="189"/>
      <c r="C25" s="189"/>
      <c r="D25" s="189"/>
      <c r="E25" s="189"/>
      <c r="F25" s="189"/>
      <c r="G25" s="189"/>
    </row>
    <row r="26" spans="1:14" ht="63" customHeight="1" x14ac:dyDescent="0.25">
      <c r="A26" s="8" t="s">
        <v>226</v>
      </c>
      <c r="B26" s="192" t="s">
        <v>198</v>
      </c>
      <c r="C26" s="192"/>
      <c r="D26" s="192"/>
      <c r="E26" s="192"/>
      <c r="F26" s="192"/>
      <c r="G26" s="192"/>
    </row>
    <row r="27" spans="1:14" x14ac:dyDescent="0.25">
      <c r="A27" s="29"/>
      <c r="B27" s="29"/>
      <c r="C27" s="29"/>
      <c r="D27" s="29"/>
      <c r="E27" s="29"/>
      <c r="F27" s="29"/>
    </row>
    <row r="28" spans="1:14" ht="21.75" customHeight="1" x14ac:dyDescent="0.25">
      <c r="A28" s="189" t="s">
        <v>214</v>
      </c>
      <c r="B28" s="189"/>
      <c r="C28" s="189"/>
      <c r="D28" s="189"/>
      <c r="E28" s="189"/>
      <c r="F28" s="189"/>
      <c r="G28" s="189"/>
    </row>
    <row r="29" spans="1:14" ht="64.5" customHeight="1" x14ac:dyDescent="0.25">
      <c r="A29" s="8" t="s">
        <v>226</v>
      </c>
      <c r="B29" s="192" t="s">
        <v>198</v>
      </c>
      <c r="C29" s="192"/>
      <c r="D29" s="192"/>
      <c r="E29" s="192"/>
      <c r="F29" s="192"/>
      <c r="G29" s="192"/>
    </row>
    <row r="30" spans="1:14" ht="12.75" x14ac:dyDescent="0.25">
      <c r="A30" s="8" t="s">
        <v>43</v>
      </c>
      <c r="B30" s="192" t="s">
        <v>193</v>
      </c>
      <c r="C30" s="192"/>
      <c r="D30" s="192"/>
      <c r="E30" s="192"/>
      <c r="F30" s="192"/>
      <c r="G30" s="192"/>
      <c r="H30" s="55"/>
      <c r="I30" s="55"/>
      <c r="J30" s="55"/>
      <c r="K30" s="55"/>
      <c r="L30" s="55"/>
      <c r="M30" s="55"/>
      <c r="N30" s="55"/>
    </row>
    <row r="31" spans="1:14" ht="12.75" x14ac:dyDescent="0.25">
      <c r="A31" s="8" t="s">
        <v>50</v>
      </c>
      <c r="B31" s="192" t="s">
        <v>192</v>
      </c>
      <c r="C31" s="192"/>
      <c r="D31" s="192"/>
      <c r="E31" s="192"/>
      <c r="F31" s="192"/>
      <c r="G31" s="192"/>
      <c r="H31" s="55"/>
      <c r="I31" s="55"/>
      <c r="J31" s="55"/>
      <c r="K31" s="55"/>
      <c r="L31" s="55"/>
      <c r="M31" s="55"/>
      <c r="N31" s="55"/>
    </row>
    <row r="32" spans="1:14" ht="12.75" x14ac:dyDescent="0.25">
      <c r="A32" s="8" t="s">
        <v>233</v>
      </c>
      <c r="B32" s="192" t="s">
        <v>195</v>
      </c>
      <c r="C32" s="192"/>
      <c r="D32" s="192"/>
      <c r="E32" s="192"/>
      <c r="F32" s="192"/>
      <c r="G32" s="192"/>
      <c r="H32" s="55"/>
      <c r="I32" s="55"/>
      <c r="J32" s="55"/>
      <c r="K32" s="55"/>
      <c r="L32" s="55"/>
      <c r="M32" s="55"/>
      <c r="N32" s="55"/>
    </row>
    <row r="33" spans="1:16" ht="12.75" x14ac:dyDescent="0.25">
      <c r="A33" s="8" t="s">
        <v>234</v>
      </c>
      <c r="B33" s="192" t="s">
        <v>196</v>
      </c>
      <c r="C33" s="192"/>
      <c r="D33" s="192"/>
      <c r="E33" s="192"/>
      <c r="F33" s="192"/>
      <c r="G33" s="192"/>
      <c r="H33" s="55"/>
      <c r="I33" s="55"/>
      <c r="J33" s="55"/>
      <c r="K33" s="55"/>
      <c r="L33" s="55"/>
      <c r="M33" s="55"/>
      <c r="N33" s="55"/>
    </row>
    <row r="34" spans="1:16" ht="12.75" x14ac:dyDescent="0.25">
      <c r="A34" s="68" t="s">
        <v>235</v>
      </c>
      <c r="B34" s="192" t="s">
        <v>197</v>
      </c>
      <c r="C34" s="192"/>
      <c r="D34" s="192"/>
      <c r="E34" s="192"/>
      <c r="F34" s="192"/>
      <c r="G34" s="192"/>
      <c r="H34" s="54"/>
      <c r="I34" s="54"/>
      <c r="J34" s="54"/>
      <c r="K34" s="54"/>
      <c r="L34" s="54"/>
      <c r="M34" s="54"/>
      <c r="N34" s="54"/>
      <c r="O34" s="54"/>
      <c r="P34" s="54"/>
    </row>
    <row r="35" spans="1:16" ht="12.75" x14ac:dyDescent="0.25">
      <c r="A35" s="8" t="s">
        <v>236</v>
      </c>
      <c r="B35" s="192" t="s">
        <v>194</v>
      </c>
      <c r="C35" s="192"/>
      <c r="D35" s="192"/>
      <c r="E35" s="192"/>
      <c r="F35" s="192"/>
      <c r="G35" s="192"/>
      <c r="H35" s="54"/>
      <c r="I35" s="54"/>
      <c r="J35" s="54"/>
      <c r="K35" s="54"/>
      <c r="L35" s="54"/>
      <c r="M35" s="54"/>
      <c r="N35" s="54"/>
      <c r="O35" s="54"/>
      <c r="P35" s="54"/>
    </row>
    <row r="36" spans="1:16" x14ac:dyDescent="0.25">
      <c r="A36" s="136"/>
      <c r="B36" s="136"/>
      <c r="C36" s="136"/>
      <c r="D36" s="136"/>
      <c r="E36" s="136"/>
      <c r="F36" s="136"/>
    </row>
    <row r="37" spans="1:16" ht="12" customHeight="1" x14ac:dyDescent="0.25">
      <c r="A37" s="167" t="s">
        <v>60</v>
      </c>
      <c r="B37" s="167"/>
      <c r="C37" s="167"/>
      <c r="D37" s="167"/>
      <c r="E37" s="167"/>
      <c r="F37" s="167"/>
      <c r="G37" s="167"/>
    </row>
    <row r="38" spans="1:16" x14ac:dyDescent="0.25">
      <c r="A38" s="193" t="s">
        <v>59</v>
      </c>
      <c r="B38" s="193"/>
      <c r="C38" s="193"/>
      <c r="D38" s="193"/>
      <c r="E38" s="193"/>
      <c r="F38" s="193"/>
      <c r="G38" s="193"/>
    </row>
    <row r="39" spans="1:16" ht="24.75" customHeight="1" x14ac:dyDescent="0.25">
      <c r="A39" s="27" t="s">
        <v>52</v>
      </c>
      <c r="B39" s="191" t="s">
        <v>106</v>
      </c>
      <c r="C39" s="191"/>
      <c r="D39" s="191"/>
      <c r="E39" s="191"/>
      <c r="F39" s="191"/>
      <c r="G39" s="191"/>
    </row>
    <row r="40" spans="1:16" ht="24" customHeight="1" x14ac:dyDescent="0.25">
      <c r="A40" s="27" t="s">
        <v>53</v>
      </c>
      <c r="B40" s="190" t="s">
        <v>107</v>
      </c>
      <c r="C40" s="190"/>
      <c r="D40" s="190"/>
      <c r="E40" s="190"/>
      <c r="F40" s="190"/>
      <c r="G40" s="190"/>
    </row>
    <row r="41" spans="1:16" ht="12.75" x14ac:dyDescent="0.25">
      <c r="A41" s="27" t="s">
        <v>54</v>
      </c>
      <c r="B41" s="190" t="s">
        <v>108</v>
      </c>
      <c r="C41" s="190"/>
      <c r="D41" s="190"/>
      <c r="E41" s="190"/>
      <c r="F41" s="190"/>
      <c r="G41" s="190"/>
    </row>
    <row r="42" spans="1:16" ht="12.75" x14ac:dyDescent="0.25">
      <c r="A42" s="27" t="s">
        <v>55</v>
      </c>
      <c r="B42" s="190" t="s">
        <v>109</v>
      </c>
      <c r="C42" s="190"/>
      <c r="D42" s="190"/>
      <c r="E42" s="190"/>
      <c r="F42" s="190"/>
      <c r="G42" s="190"/>
    </row>
    <row r="43" spans="1:16" ht="24" customHeight="1" x14ac:dyDescent="0.25">
      <c r="A43" s="27" t="s">
        <v>56</v>
      </c>
      <c r="B43" s="190" t="s">
        <v>110</v>
      </c>
      <c r="C43" s="190"/>
      <c r="D43" s="190"/>
      <c r="E43" s="190"/>
      <c r="F43" s="190"/>
      <c r="G43" s="190"/>
    </row>
    <row r="44" spans="1:16" ht="25.5" customHeight="1" x14ac:dyDescent="0.25">
      <c r="A44" s="27" t="s">
        <v>57</v>
      </c>
      <c r="B44" s="191" t="s">
        <v>111</v>
      </c>
      <c r="C44" s="191"/>
      <c r="D44" s="191"/>
      <c r="E44" s="191"/>
      <c r="F44" s="191"/>
      <c r="G44" s="191"/>
    </row>
    <row r="45" spans="1:16" s="29" customFormat="1" ht="15.75" customHeight="1" x14ac:dyDescent="0.25">
      <c r="A45" s="195"/>
      <c r="B45" s="196"/>
      <c r="C45" s="196"/>
      <c r="D45" s="196"/>
      <c r="E45" s="136"/>
      <c r="F45" s="136"/>
    </row>
    <row r="46" spans="1:16" ht="14.25" customHeight="1" x14ac:dyDescent="0.25">
      <c r="A46" s="193" t="s">
        <v>61</v>
      </c>
      <c r="B46" s="193"/>
      <c r="C46" s="193"/>
      <c r="D46" s="193"/>
      <c r="E46" s="193"/>
      <c r="F46" s="193"/>
      <c r="G46" s="193"/>
    </row>
    <row r="47" spans="1:16" ht="12.75" x14ac:dyDescent="0.25">
      <c r="A47" s="27" t="s">
        <v>62</v>
      </c>
      <c r="B47" s="190" t="s">
        <v>112</v>
      </c>
      <c r="C47" s="190"/>
      <c r="D47" s="190"/>
      <c r="E47" s="190"/>
      <c r="F47" s="190"/>
      <c r="G47" s="190"/>
      <c r="H47" s="55"/>
      <c r="I47" s="55"/>
      <c r="J47" s="55"/>
      <c r="K47" s="55"/>
      <c r="L47" s="55"/>
      <c r="M47" s="55"/>
      <c r="N47" s="55"/>
    </row>
    <row r="48" spans="1:16" ht="25.5" customHeight="1" x14ac:dyDescent="0.25">
      <c r="A48" s="27" t="s">
        <v>63</v>
      </c>
      <c r="B48" s="190" t="s">
        <v>113</v>
      </c>
      <c r="C48" s="190"/>
      <c r="D48" s="190"/>
      <c r="E48" s="190"/>
      <c r="F48" s="190"/>
      <c r="G48" s="190"/>
      <c r="H48" s="55"/>
      <c r="I48" s="55"/>
      <c r="J48" s="55"/>
      <c r="K48" s="55"/>
      <c r="L48" s="55"/>
      <c r="M48" s="55"/>
      <c r="N48" s="55"/>
    </row>
    <row r="49" spans="1:15" ht="24" x14ac:dyDescent="0.25">
      <c r="A49" s="27" t="s">
        <v>64</v>
      </c>
      <c r="B49" s="190" t="s">
        <v>114</v>
      </c>
      <c r="C49" s="190"/>
      <c r="D49" s="190"/>
      <c r="E49" s="190"/>
      <c r="F49" s="190"/>
      <c r="G49" s="190"/>
      <c r="H49" s="55"/>
      <c r="I49" s="55"/>
      <c r="J49" s="55"/>
      <c r="K49" s="55"/>
      <c r="L49" s="55"/>
      <c r="M49" s="55"/>
      <c r="N49" s="55"/>
    </row>
    <row r="50" spans="1:15" ht="24" x14ac:dyDescent="0.25">
      <c r="A50" s="27" t="s">
        <v>65</v>
      </c>
      <c r="B50" s="190" t="s">
        <v>113</v>
      </c>
      <c r="C50" s="190"/>
      <c r="D50" s="190"/>
      <c r="E50" s="190"/>
      <c r="F50" s="190"/>
      <c r="G50" s="190"/>
      <c r="H50" s="55"/>
      <c r="I50" s="55"/>
      <c r="J50" s="55"/>
      <c r="K50" s="55"/>
      <c r="L50" s="55"/>
      <c r="M50" s="55"/>
      <c r="N50" s="55"/>
    </row>
    <row r="51" spans="1:15" ht="24" x14ac:dyDescent="0.25">
      <c r="A51" s="27" t="s">
        <v>66</v>
      </c>
      <c r="B51" s="190" t="s">
        <v>115</v>
      </c>
      <c r="C51" s="190"/>
      <c r="D51" s="190"/>
      <c r="E51" s="190"/>
      <c r="F51" s="190"/>
      <c r="G51" s="190"/>
      <c r="H51" s="55"/>
      <c r="I51" s="55"/>
      <c r="J51" s="55"/>
      <c r="K51" s="55"/>
      <c r="L51" s="55"/>
      <c r="M51" s="55"/>
      <c r="N51" s="55"/>
    </row>
    <row r="52" spans="1:15" x14ac:dyDescent="0.25">
      <c r="A52" s="194"/>
      <c r="B52" s="136"/>
      <c r="C52" s="136"/>
      <c r="D52" s="136"/>
      <c r="E52" s="136"/>
      <c r="F52" s="136"/>
    </row>
    <row r="53" spans="1:15" ht="14.45" customHeight="1" x14ac:dyDescent="0.25">
      <c r="A53" s="197" t="s">
        <v>70</v>
      </c>
      <c r="B53" s="197"/>
      <c r="C53" s="197"/>
      <c r="D53" s="197"/>
      <c r="E53" s="197"/>
      <c r="F53" s="197"/>
      <c r="G53" s="197"/>
    </row>
    <row r="54" spans="1:15" x14ac:dyDescent="0.25">
      <c r="A54" s="126" t="s">
        <v>116</v>
      </c>
      <c r="B54" s="126"/>
      <c r="C54" s="126"/>
      <c r="D54" s="126"/>
      <c r="E54" s="126"/>
      <c r="F54" s="126"/>
      <c r="G54" s="126"/>
    </row>
    <row r="55" spans="1:15" x14ac:dyDescent="0.25">
      <c r="A55" s="29"/>
      <c r="B55" s="29"/>
      <c r="C55" s="29"/>
      <c r="D55" s="29"/>
      <c r="E55" s="29"/>
      <c r="F55" s="29"/>
      <c r="G55" s="29"/>
    </row>
    <row r="56" spans="1:15" ht="12" customHeight="1" x14ac:dyDescent="0.25">
      <c r="A56" s="199" t="s">
        <v>215</v>
      </c>
      <c r="B56" s="199"/>
      <c r="C56" s="199"/>
      <c r="D56" s="199"/>
      <c r="E56" s="199"/>
      <c r="F56" s="199"/>
      <c r="G56" s="199"/>
    </row>
    <row r="57" spans="1:15" ht="54" customHeight="1" x14ac:dyDescent="0.25">
      <c r="A57" s="200" t="s">
        <v>189</v>
      </c>
      <c r="B57" s="200"/>
      <c r="C57" s="200"/>
      <c r="D57" s="200"/>
      <c r="E57" s="200"/>
      <c r="F57" s="200"/>
      <c r="G57" s="200"/>
      <c r="H57" s="109"/>
      <c r="I57" s="109"/>
      <c r="J57" s="109"/>
      <c r="K57" s="109"/>
      <c r="L57" s="109"/>
      <c r="M57" s="109"/>
      <c r="N57" s="109"/>
      <c r="O57" s="109"/>
    </row>
    <row r="58" spans="1:15" ht="12.75" customHeight="1" x14ac:dyDescent="0.25">
      <c r="A58" s="136"/>
      <c r="B58" s="136"/>
      <c r="C58" s="136"/>
      <c r="D58" s="136"/>
      <c r="E58" s="136"/>
      <c r="F58" s="136"/>
    </row>
    <row r="59" spans="1:15" ht="26.25" customHeight="1" x14ac:dyDescent="0.25">
      <c r="A59" s="198" t="s">
        <v>163</v>
      </c>
      <c r="B59" s="198"/>
      <c r="C59" s="198"/>
      <c r="D59" s="198"/>
      <c r="E59" s="198"/>
      <c r="F59" s="198"/>
      <c r="G59" s="198"/>
    </row>
    <row r="60" spans="1:15" x14ac:dyDescent="0.25">
      <c r="A60" s="126" t="s">
        <v>116</v>
      </c>
      <c r="B60" s="126"/>
      <c r="C60" s="126"/>
      <c r="D60" s="126"/>
      <c r="E60" s="126"/>
      <c r="F60" s="126"/>
      <c r="G60" s="126"/>
    </row>
    <row r="61" spans="1:15" x14ac:dyDescent="0.25">
      <c r="A61" s="108"/>
      <c r="B61" s="108"/>
      <c r="C61" s="108"/>
      <c r="D61" s="108"/>
      <c r="E61" s="108"/>
      <c r="F61" s="108"/>
    </row>
    <row r="62" spans="1:15" x14ac:dyDescent="0.25">
      <c r="A62" s="165" t="s">
        <v>173</v>
      </c>
      <c r="B62" s="165"/>
      <c r="C62" s="165"/>
      <c r="D62" s="165"/>
      <c r="E62" s="165"/>
      <c r="F62" s="165"/>
      <c r="G62" s="165"/>
    </row>
    <row r="63" spans="1:15" ht="12.75" x14ac:dyDescent="0.25">
      <c r="A63" s="46" t="s">
        <v>83</v>
      </c>
      <c r="B63" s="191" t="s">
        <v>122</v>
      </c>
      <c r="C63" s="191"/>
      <c r="D63" s="191"/>
      <c r="E63" s="191"/>
      <c r="F63" s="191"/>
      <c r="G63" s="191"/>
    </row>
    <row r="64" spans="1:15" ht="12.75" x14ac:dyDescent="0.25">
      <c r="A64" s="46" t="s">
        <v>75</v>
      </c>
      <c r="B64" s="190" t="s">
        <v>117</v>
      </c>
      <c r="C64" s="190"/>
      <c r="D64" s="190"/>
      <c r="E64" s="190"/>
      <c r="F64" s="190"/>
      <c r="G64" s="190"/>
    </row>
    <row r="65" spans="1:7" ht="12.75" x14ac:dyDescent="0.25">
      <c r="A65" s="49" t="s">
        <v>79</v>
      </c>
      <c r="B65" s="190" t="s">
        <v>118</v>
      </c>
      <c r="C65" s="190"/>
      <c r="D65" s="190"/>
      <c r="E65" s="190"/>
      <c r="F65" s="190"/>
      <c r="G65" s="190"/>
    </row>
    <row r="66" spans="1:7" ht="12.75" x14ac:dyDescent="0.25">
      <c r="A66" s="50" t="s">
        <v>80</v>
      </c>
      <c r="B66" s="190" t="s">
        <v>119</v>
      </c>
      <c r="C66" s="190"/>
      <c r="D66" s="190"/>
      <c r="E66" s="190"/>
      <c r="F66" s="190"/>
      <c r="G66" s="190"/>
    </row>
    <row r="67" spans="1:7" ht="12.75" x14ac:dyDescent="0.25">
      <c r="A67" s="50" t="s">
        <v>81</v>
      </c>
      <c r="B67" s="190" t="s">
        <v>120</v>
      </c>
      <c r="C67" s="190"/>
      <c r="D67" s="190"/>
      <c r="E67" s="190"/>
      <c r="F67" s="190"/>
      <c r="G67" s="190"/>
    </row>
    <row r="68" spans="1:7" ht="12.75" x14ac:dyDescent="0.25">
      <c r="A68" s="50" t="s">
        <v>84</v>
      </c>
      <c r="B68" s="190" t="s">
        <v>121</v>
      </c>
      <c r="C68" s="190"/>
      <c r="D68" s="190"/>
      <c r="E68" s="190"/>
      <c r="F68" s="190"/>
      <c r="G68" s="190"/>
    </row>
  </sheetData>
  <mergeCells count="64">
    <mergeCell ref="B66:G66"/>
    <mergeCell ref="B67:G67"/>
    <mergeCell ref="B68:G68"/>
    <mergeCell ref="A53:G53"/>
    <mergeCell ref="A54:G54"/>
    <mergeCell ref="A58:F58"/>
    <mergeCell ref="A59:G59"/>
    <mergeCell ref="A60:G60"/>
    <mergeCell ref="A62:G62"/>
    <mergeCell ref="A56:G56"/>
    <mergeCell ref="A57:G57"/>
    <mergeCell ref="B63:G63"/>
    <mergeCell ref="B64:G64"/>
    <mergeCell ref="B65:G65"/>
    <mergeCell ref="A52:F52"/>
    <mergeCell ref="B41:G41"/>
    <mergeCell ref="B42:G42"/>
    <mergeCell ref="B43:G43"/>
    <mergeCell ref="B44:G44"/>
    <mergeCell ref="A45:F45"/>
    <mergeCell ref="A46:G46"/>
    <mergeCell ref="B47:G47"/>
    <mergeCell ref="B48:G48"/>
    <mergeCell ref="B49:G49"/>
    <mergeCell ref="B50:G50"/>
    <mergeCell ref="B51:G51"/>
    <mergeCell ref="B40:G40"/>
    <mergeCell ref="B29:G29"/>
    <mergeCell ref="B30:G30"/>
    <mergeCell ref="B31:G31"/>
    <mergeCell ref="B32:G32"/>
    <mergeCell ref="B33:G33"/>
    <mergeCell ref="B34:G34"/>
    <mergeCell ref="B35:G35"/>
    <mergeCell ref="A36:F36"/>
    <mergeCell ref="A37:G37"/>
    <mergeCell ref="A38:G38"/>
    <mergeCell ref="B39:G39"/>
    <mergeCell ref="A28:G28"/>
    <mergeCell ref="B16:G16"/>
    <mergeCell ref="B17:G17"/>
    <mergeCell ref="B18:G18"/>
    <mergeCell ref="B19:G19"/>
    <mergeCell ref="B20:G20"/>
    <mergeCell ref="B21:G21"/>
    <mergeCell ref="B22:G22"/>
    <mergeCell ref="B23:G23"/>
    <mergeCell ref="A24:F24"/>
    <mergeCell ref="A25:G25"/>
    <mergeCell ref="B26:G26"/>
    <mergeCell ref="A15:G15"/>
    <mergeCell ref="A1:G2"/>
    <mergeCell ref="A3:G3"/>
    <mergeCell ref="A4:G4"/>
    <mergeCell ref="B5:G5"/>
    <mergeCell ref="B6:G6"/>
    <mergeCell ref="A9:F9"/>
    <mergeCell ref="A10:G10"/>
    <mergeCell ref="B11:G11"/>
    <mergeCell ref="B12:G12"/>
    <mergeCell ref="B13:G13"/>
    <mergeCell ref="A14:F14"/>
    <mergeCell ref="B7:G7"/>
    <mergeCell ref="B8:G8"/>
  </mergeCells>
  <pageMargins left="0.25" right="0.25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EC8D6-EEB8-48EF-97A9-5D57B5430816}">
  <sheetPr>
    <pageSetUpPr fitToPage="1"/>
  </sheetPr>
  <dimension ref="A1:K47"/>
  <sheetViews>
    <sheetView topLeftCell="B1" workbookViewId="0">
      <selection activeCell="B1" sqref="B1:I2"/>
    </sheetView>
  </sheetViews>
  <sheetFormatPr defaultRowHeight="15" x14ac:dyDescent="0.25"/>
  <cols>
    <col min="1" max="1" width="0" hidden="1" customWidth="1"/>
    <col min="2" max="2" width="52.42578125" customWidth="1"/>
    <col min="3" max="3" width="15.7109375" customWidth="1"/>
    <col min="4" max="4" width="17.5703125" customWidth="1"/>
    <col min="5" max="5" width="17.42578125" customWidth="1"/>
    <col min="6" max="6" width="18.7109375" customWidth="1"/>
    <col min="9" max="9" width="74.7109375" customWidth="1"/>
    <col min="10" max="10" width="11.85546875" customWidth="1"/>
    <col min="11" max="11" width="13.28515625" bestFit="1" customWidth="1"/>
  </cols>
  <sheetData>
    <row r="1" spans="1:11" ht="15" customHeight="1" x14ac:dyDescent="0.25">
      <c r="B1" s="231" t="s">
        <v>237</v>
      </c>
      <c r="C1" s="232"/>
      <c r="D1" s="232"/>
      <c r="E1" s="232"/>
      <c r="F1" s="232"/>
      <c r="G1" s="232"/>
      <c r="H1" s="232"/>
      <c r="I1" s="233"/>
    </row>
    <row r="2" spans="1:11" ht="15" customHeight="1" x14ac:dyDescent="0.25">
      <c r="B2" s="234"/>
      <c r="C2" s="235"/>
      <c r="D2" s="235"/>
      <c r="E2" s="235"/>
      <c r="F2" s="235"/>
      <c r="G2" s="235"/>
      <c r="H2" s="235"/>
      <c r="I2" s="236"/>
    </row>
    <row r="4" spans="1:11" ht="21.75" customHeight="1" x14ac:dyDescent="0.25">
      <c r="A4" s="71" t="s">
        <v>146</v>
      </c>
      <c r="B4" s="237" t="s">
        <v>169</v>
      </c>
      <c r="C4" s="23" t="s">
        <v>34</v>
      </c>
      <c r="D4" s="23" t="s">
        <v>32</v>
      </c>
      <c r="E4" s="23" t="s">
        <v>33</v>
      </c>
      <c r="F4" s="23" t="s">
        <v>35</v>
      </c>
      <c r="G4" s="202" t="s">
        <v>182</v>
      </c>
      <c r="H4" s="203"/>
      <c r="I4" s="204"/>
    </row>
    <row r="5" spans="1:11" ht="15.75" customHeight="1" x14ac:dyDescent="0.25">
      <c r="A5" s="219">
        <v>1</v>
      </c>
      <c r="B5" s="237"/>
      <c r="C5" s="238">
        <v>2</v>
      </c>
      <c r="D5" s="222">
        <f>AVERAGE(349999,235000,299999)</f>
        <v>294999.33</v>
      </c>
      <c r="E5" s="222">
        <f>D5*C5</f>
        <v>589998.66</v>
      </c>
      <c r="F5" s="239">
        <f>'ITEM 02 - DESTINAÇÃO E DESCARGA'!D15</f>
        <v>7677.93</v>
      </c>
      <c r="G5" s="205"/>
      <c r="H5" s="206"/>
      <c r="I5" s="207"/>
    </row>
    <row r="6" spans="1:11" ht="10.5" customHeight="1" x14ac:dyDescent="0.25">
      <c r="A6" s="219"/>
      <c r="B6" s="237"/>
      <c r="C6" s="238"/>
      <c r="D6" s="222"/>
      <c r="E6" s="222"/>
      <c r="F6" s="239"/>
      <c r="G6" s="208"/>
      <c r="H6" s="209"/>
      <c r="I6" s="210"/>
    </row>
    <row r="7" spans="1:11" ht="22.5" customHeight="1" x14ac:dyDescent="0.25">
      <c r="A7" s="220"/>
      <c r="B7" s="95"/>
      <c r="C7" s="96"/>
      <c r="D7" s="97"/>
      <c r="E7" s="97"/>
      <c r="F7" s="98"/>
      <c r="G7" s="88"/>
      <c r="H7" s="88"/>
      <c r="I7" s="89"/>
    </row>
    <row r="8" spans="1:11" ht="19.5" customHeight="1" x14ac:dyDescent="0.25">
      <c r="A8" s="219"/>
      <c r="B8" s="19" t="s">
        <v>18</v>
      </c>
      <c r="C8" s="19" t="s">
        <v>19</v>
      </c>
      <c r="D8" s="19" t="s">
        <v>20</v>
      </c>
      <c r="E8" s="19" t="s">
        <v>21</v>
      </c>
      <c r="F8" s="19" t="s">
        <v>22</v>
      </c>
      <c r="G8" s="201" t="s">
        <v>23</v>
      </c>
      <c r="H8" s="201"/>
      <c r="I8" s="201"/>
    </row>
    <row r="9" spans="1:11" x14ac:dyDescent="0.25">
      <c r="A9" s="66" t="s">
        <v>147</v>
      </c>
      <c r="B9" s="20" t="s">
        <v>24</v>
      </c>
      <c r="C9" s="21">
        <v>6.34</v>
      </c>
      <c r="D9" s="20">
        <v>4</v>
      </c>
      <c r="E9" s="110">
        <f>C9/D9</f>
        <v>1.585</v>
      </c>
      <c r="F9" s="21">
        <f>E9*$F$5</f>
        <v>12169.52</v>
      </c>
      <c r="G9" s="217" t="s">
        <v>25</v>
      </c>
      <c r="H9" s="217"/>
      <c r="I9" s="217"/>
    </row>
    <row r="10" spans="1:11" x14ac:dyDescent="0.25">
      <c r="A10" s="66" t="s">
        <v>148</v>
      </c>
      <c r="B10" s="20" t="s">
        <v>26</v>
      </c>
      <c r="C10" s="21">
        <f>109.9/20</f>
        <v>5.5</v>
      </c>
      <c r="D10" s="20">
        <v>80</v>
      </c>
      <c r="E10" s="110">
        <f>C10/D10</f>
        <v>6.88E-2</v>
      </c>
      <c r="F10" s="21">
        <f t="shared" ref="F10:F11" si="0">E10*$F$5</f>
        <v>528.24</v>
      </c>
      <c r="G10" s="217" t="s">
        <v>131</v>
      </c>
      <c r="H10" s="217"/>
      <c r="I10" s="217"/>
    </row>
    <row r="11" spans="1:11" x14ac:dyDescent="0.25">
      <c r="A11" s="66" t="s">
        <v>149</v>
      </c>
      <c r="B11" s="20" t="s">
        <v>27</v>
      </c>
      <c r="C11" s="112">
        <v>86.21</v>
      </c>
      <c r="D11" s="113">
        <v>10000</v>
      </c>
      <c r="E11" s="114">
        <f>C11/D11</f>
        <v>8.6E-3</v>
      </c>
      <c r="F11" s="112">
        <f t="shared" si="0"/>
        <v>66.03</v>
      </c>
      <c r="G11" s="217" t="s">
        <v>131</v>
      </c>
      <c r="H11" s="217"/>
      <c r="I11" s="217"/>
    </row>
    <row r="12" spans="1:11" x14ac:dyDescent="0.25">
      <c r="A12" s="66" t="s">
        <v>150</v>
      </c>
      <c r="B12" s="20" t="s">
        <v>141</v>
      </c>
      <c r="C12" s="112">
        <v>629.79999999999995</v>
      </c>
      <c r="D12" s="113">
        <v>85000</v>
      </c>
      <c r="E12" s="114">
        <f>($C$12*6)*($C$5)/$D$12</f>
        <v>8.8900000000000007E-2</v>
      </c>
      <c r="F12" s="112">
        <f>E12*$F$5</f>
        <v>682.57</v>
      </c>
      <c r="G12" s="211" t="s">
        <v>223</v>
      </c>
      <c r="H12" s="212"/>
      <c r="I12" s="213"/>
      <c r="K12" s="74"/>
    </row>
    <row r="13" spans="1:11" x14ac:dyDescent="0.25">
      <c r="A13" s="66"/>
      <c r="B13" s="20" t="s">
        <v>217</v>
      </c>
      <c r="C13" s="112">
        <v>300</v>
      </c>
      <c r="D13" s="113">
        <v>85000</v>
      </c>
      <c r="E13" s="114">
        <f>($C$13*6)*($C$5)*2/$D$13</f>
        <v>8.4699999999999998E-2</v>
      </c>
      <c r="F13" s="112">
        <f>E13*$F$5</f>
        <v>650.32000000000005</v>
      </c>
      <c r="G13" s="115" t="s">
        <v>225</v>
      </c>
      <c r="H13" s="116"/>
      <c r="I13" s="117"/>
    </row>
    <row r="14" spans="1:11" x14ac:dyDescent="0.25">
      <c r="A14" s="66"/>
      <c r="B14" s="20" t="s">
        <v>218</v>
      </c>
      <c r="C14" s="112">
        <v>110</v>
      </c>
      <c r="D14" s="118">
        <f>F5</f>
        <v>7677.93</v>
      </c>
      <c r="E14" s="114">
        <f>($C$14*4)*($C$5)/$D$14</f>
        <v>0.11459999999999999</v>
      </c>
      <c r="F14" s="112">
        <f>E14*$F$5</f>
        <v>879.89</v>
      </c>
      <c r="G14" s="115" t="s">
        <v>224</v>
      </c>
      <c r="H14" s="116"/>
      <c r="I14" s="117"/>
    </row>
    <row r="15" spans="1:11" x14ac:dyDescent="0.25">
      <c r="A15" s="66" t="s">
        <v>151</v>
      </c>
      <c r="B15" s="19" t="s">
        <v>18</v>
      </c>
      <c r="C15" s="229" t="s">
        <v>28</v>
      </c>
      <c r="D15" s="230"/>
      <c r="E15" s="19" t="s">
        <v>21</v>
      </c>
      <c r="F15" s="19" t="s">
        <v>22</v>
      </c>
      <c r="G15" s="214"/>
      <c r="H15" s="215"/>
      <c r="I15" s="216"/>
    </row>
    <row r="16" spans="1:11" x14ac:dyDescent="0.25">
      <c r="A16" s="66"/>
      <c r="B16" s="20" t="s">
        <v>29</v>
      </c>
      <c r="C16" s="223">
        <f>F5</f>
        <v>7677.93</v>
      </c>
      <c r="D16" s="224"/>
      <c r="E16" s="114">
        <f>(($E$5*0.0033)/$C$5)/$C$16</f>
        <v>0.1268</v>
      </c>
      <c r="F16" s="119">
        <f>E16*F5</f>
        <v>973.56</v>
      </c>
      <c r="G16" s="217" t="s">
        <v>220</v>
      </c>
      <c r="H16" s="217"/>
      <c r="I16" s="217"/>
    </row>
    <row r="17" spans="1:11" x14ac:dyDescent="0.25">
      <c r="A17" s="66" t="s">
        <v>152</v>
      </c>
      <c r="B17" s="20" t="s">
        <v>219</v>
      </c>
      <c r="C17" s="225"/>
      <c r="D17" s="226"/>
      <c r="E17" s="114">
        <f>(($E$5*12%)/(12)/($C$16))</f>
        <v>0.76839999999999997</v>
      </c>
      <c r="F17" s="112">
        <f>E17*$C$16</f>
        <v>5899.72</v>
      </c>
      <c r="G17" s="217" t="s">
        <v>37</v>
      </c>
      <c r="H17" s="217"/>
      <c r="I17" s="217"/>
      <c r="K17" s="74"/>
    </row>
    <row r="18" spans="1:11" x14ac:dyDescent="0.25">
      <c r="A18" s="66" t="s">
        <v>153</v>
      </c>
      <c r="B18" s="20" t="s">
        <v>30</v>
      </c>
      <c r="C18" s="225"/>
      <c r="D18" s="226"/>
      <c r="E18" s="114">
        <f>(($E$5*15%)/(12)/($C$16))</f>
        <v>0.96050000000000002</v>
      </c>
      <c r="F18" s="112">
        <f>E18*$C$16</f>
        <v>7374.65</v>
      </c>
      <c r="G18" s="217" t="s">
        <v>132</v>
      </c>
      <c r="H18" s="217"/>
      <c r="I18" s="217"/>
    </row>
    <row r="19" spans="1:11" x14ac:dyDescent="0.25">
      <c r="A19" s="66" t="s">
        <v>154</v>
      </c>
      <c r="B19" s="20" t="s">
        <v>31</v>
      </c>
      <c r="C19" s="225"/>
      <c r="D19" s="226"/>
      <c r="E19" s="114">
        <f>($E$5*1%)/(12)/($C$16)</f>
        <v>6.4000000000000001E-2</v>
      </c>
      <c r="F19" s="112">
        <f>E19*$C$16</f>
        <v>491.39</v>
      </c>
      <c r="G19" s="217" t="s">
        <v>221</v>
      </c>
      <c r="H19" s="217"/>
      <c r="I19" s="217"/>
    </row>
    <row r="20" spans="1:11" x14ac:dyDescent="0.25">
      <c r="A20" s="66" t="s">
        <v>155</v>
      </c>
      <c r="B20" s="20" t="s">
        <v>142</v>
      </c>
      <c r="C20" s="227"/>
      <c r="D20" s="228"/>
      <c r="E20" s="114">
        <f>(90.94*$C$5)/(12)/$C$16</f>
        <v>2E-3</v>
      </c>
      <c r="F20" s="112">
        <f>E20*$C$16</f>
        <v>15.36</v>
      </c>
      <c r="G20" s="217" t="s">
        <v>222</v>
      </c>
      <c r="H20" s="217"/>
      <c r="I20" s="217"/>
    </row>
    <row r="21" spans="1:11" x14ac:dyDescent="0.25">
      <c r="A21" s="221" t="s">
        <v>36</v>
      </c>
      <c r="B21" s="221"/>
      <c r="C21" s="221"/>
      <c r="D21" s="221"/>
      <c r="E21" s="221"/>
      <c r="F21" s="67">
        <f>SUM(F9:F14,F16:F20)</f>
        <v>29731.25</v>
      </c>
    </row>
    <row r="22" spans="1:11" x14ac:dyDescent="0.25">
      <c r="A22" s="87"/>
      <c r="B22" s="221" t="s">
        <v>213</v>
      </c>
      <c r="C22" s="221"/>
      <c r="D22" s="221"/>
      <c r="E22" s="221"/>
      <c r="F22" s="67">
        <f>F21/C16</f>
        <v>3.87</v>
      </c>
    </row>
    <row r="24" spans="1:11" ht="15.75" x14ac:dyDescent="0.25">
      <c r="A24" s="71" t="s">
        <v>146</v>
      </c>
      <c r="B24" s="238" t="s">
        <v>168</v>
      </c>
      <c r="C24" s="23" t="s">
        <v>34</v>
      </c>
      <c r="D24" s="22" t="s">
        <v>32</v>
      </c>
      <c r="E24" s="22" t="s">
        <v>33</v>
      </c>
      <c r="F24" s="22" t="s">
        <v>35</v>
      </c>
      <c r="G24" s="202" t="s">
        <v>202</v>
      </c>
      <c r="H24" s="203"/>
      <c r="I24" s="204"/>
    </row>
    <row r="25" spans="1:11" ht="15" customHeight="1" x14ac:dyDescent="0.25">
      <c r="A25" s="219">
        <v>2</v>
      </c>
      <c r="B25" s="238"/>
      <c r="C25" s="238">
        <v>2</v>
      </c>
      <c r="D25" s="222">
        <f>AVERAGE(349999,235000,299999)</f>
        <v>294999.33</v>
      </c>
      <c r="E25" s="222">
        <f>D25*C25</f>
        <v>589998.66</v>
      </c>
      <c r="F25" s="218">
        <f>'ITEM 02 - DESTINAÇÃO E DESCARGA'!D25</f>
        <v>2311.5300000000002</v>
      </c>
      <c r="G25" s="205"/>
      <c r="H25" s="206"/>
      <c r="I25" s="207"/>
    </row>
    <row r="26" spans="1:11" ht="21.75" customHeight="1" x14ac:dyDescent="0.25">
      <c r="A26" s="219"/>
      <c r="B26" s="238"/>
      <c r="C26" s="238"/>
      <c r="D26" s="222"/>
      <c r="E26" s="222"/>
      <c r="F26" s="218"/>
      <c r="G26" s="208"/>
      <c r="H26" s="209"/>
      <c r="I26" s="210"/>
    </row>
    <row r="27" spans="1:11" ht="21.75" customHeight="1" x14ac:dyDescent="0.25">
      <c r="A27" s="220"/>
      <c r="B27" s="92"/>
      <c r="C27" s="96"/>
      <c r="D27" s="97"/>
      <c r="E27" s="97"/>
      <c r="F27" s="100"/>
      <c r="G27" s="90"/>
      <c r="H27" s="90"/>
      <c r="I27" s="91"/>
    </row>
    <row r="28" spans="1:11" ht="31.5" customHeight="1" x14ac:dyDescent="0.25">
      <c r="A28" s="220"/>
      <c r="B28" s="99" t="s">
        <v>18</v>
      </c>
      <c r="C28" s="19" t="s">
        <v>19</v>
      </c>
      <c r="D28" s="19" t="s">
        <v>20</v>
      </c>
      <c r="E28" s="19" t="s">
        <v>21</v>
      </c>
      <c r="F28" s="19" t="s">
        <v>22</v>
      </c>
      <c r="G28" s="201" t="s">
        <v>23</v>
      </c>
      <c r="H28" s="201"/>
      <c r="I28" s="201"/>
    </row>
    <row r="29" spans="1:11" x14ac:dyDescent="0.25">
      <c r="A29" s="101" t="s">
        <v>147</v>
      </c>
      <c r="B29" s="20" t="s">
        <v>24</v>
      </c>
      <c r="C29" s="21">
        <v>6.34</v>
      </c>
      <c r="D29" s="20">
        <v>4</v>
      </c>
      <c r="E29" s="110">
        <f>C29/D29</f>
        <v>1.585</v>
      </c>
      <c r="F29" s="21">
        <f>E29*$F$25</f>
        <v>3663.78</v>
      </c>
      <c r="G29" s="240" t="s">
        <v>25</v>
      </c>
      <c r="H29" s="217"/>
      <c r="I29" s="217"/>
    </row>
    <row r="30" spans="1:11" x14ac:dyDescent="0.25">
      <c r="A30" s="66" t="s">
        <v>148</v>
      </c>
      <c r="B30" s="93" t="s">
        <v>26</v>
      </c>
      <c r="C30" s="94">
        <f>109.9/20</f>
        <v>5.5</v>
      </c>
      <c r="D30" s="93">
        <v>80</v>
      </c>
      <c r="E30" s="111">
        <f>C30/D30</f>
        <v>6.88E-2</v>
      </c>
      <c r="F30" s="21">
        <f t="shared" ref="F30:F34" si="1">E30*$F$25</f>
        <v>159.03</v>
      </c>
      <c r="G30" s="217" t="s">
        <v>131</v>
      </c>
      <c r="H30" s="217"/>
      <c r="I30" s="217"/>
    </row>
    <row r="31" spans="1:11" x14ac:dyDescent="0.25">
      <c r="A31" s="66" t="s">
        <v>149</v>
      </c>
      <c r="B31" s="20" t="s">
        <v>27</v>
      </c>
      <c r="C31" s="112">
        <v>86.21</v>
      </c>
      <c r="D31" s="113">
        <v>10000</v>
      </c>
      <c r="E31" s="114">
        <f>C31/D31</f>
        <v>8.6E-3</v>
      </c>
      <c r="F31" s="112">
        <f t="shared" si="1"/>
        <v>19.88</v>
      </c>
      <c r="G31" s="217" t="s">
        <v>131</v>
      </c>
      <c r="H31" s="217"/>
      <c r="I31" s="217"/>
    </row>
    <row r="32" spans="1:11" x14ac:dyDescent="0.25">
      <c r="A32" s="66" t="s">
        <v>150</v>
      </c>
      <c r="B32" s="20" t="s">
        <v>141</v>
      </c>
      <c r="C32" s="112">
        <v>629.79999999999995</v>
      </c>
      <c r="D32" s="113">
        <v>85000</v>
      </c>
      <c r="E32" s="114">
        <f>($C$32*6)*($C$25)/$D$32</f>
        <v>8.8900000000000007E-2</v>
      </c>
      <c r="F32" s="112">
        <f t="shared" si="1"/>
        <v>205.5</v>
      </c>
      <c r="G32" s="211" t="s">
        <v>223</v>
      </c>
      <c r="H32" s="212"/>
      <c r="I32" s="213"/>
    </row>
    <row r="33" spans="1:9" x14ac:dyDescent="0.25">
      <c r="A33" s="66"/>
      <c r="B33" s="20" t="s">
        <v>217</v>
      </c>
      <c r="C33" s="112">
        <v>300</v>
      </c>
      <c r="D33" s="113">
        <v>85000</v>
      </c>
      <c r="E33" s="114">
        <f>($C$33*6)*($C$5)*2/$D$33</f>
        <v>8.4699999999999998E-2</v>
      </c>
      <c r="F33" s="112">
        <f t="shared" si="1"/>
        <v>195.79</v>
      </c>
      <c r="G33" s="211" t="s">
        <v>225</v>
      </c>
      <c r="H33" s="212"/>
      <c r="I33" s="213"/>
    </row>
    <row r="34" spans="1:9" x14ac:dyDescent="0.25">
      <c r="A34" s="66"/>
      <c r="B34" s="20" t="s">
        <v>218</v>
      </c>
      <c r="C34" s="112">
        <v>110</v>
      </c>
      <c r="D34" s="120">
        <f>F25</f>
        <v>2311.5300000000002</v>
      </c>
      <c r="E34" s="114">
        <f>($C$34*4)*($C$25)/$D$34</f>
        <v>0.38069999999999998</v>
      </c>
      <c r="F34" s="112">
        <f t="shared" si="1"/>
        <v>880</v>
      </c>
      <c r="G34" s="211" t="s">
        <v>224</v>
      </c>
      <c r="H34" s="212"/>
      <c r="I34" s="213"/>
    </row>
    <row r="35" spans="1:9" x14ac:dyDescent="0.25">
      <c r="A35" s="66" t="s">
        <v>151</v>
      </c>
      <c r="B35" s="19" t="s">
        <v>18</v>
      </c>
      <c r="C35" s="229" t="s">
        <v>28</v>
      </c>
      <c r="D35" s="230"/>
      <c r="E35" s="19" t="s">
        <v>21</v>
      </c>
      <c r="F35" s="19" t="s">
        <v>22</v>
      </c>
      <c r="G35" s="214"/>
      <c r="H35" s="215"/>
      <c r="I35" s="216"/>
    </row>
    <row r="36" spans="1:9" x14ac:dyDescent="0.25">
      <c r="A36" s="66" t="s">
        <v>152</v>
      </c>
      <c r="B36" s="20" t="s">
        <v>29</v>
      </c>
      <c r="C36" s="223">
        <f>F25</f>
        <v>2311.5300000000002</v>
      </c>
      <c r="D36" s="224"/>
      <c r="E36" s="114">
        <f>(($E$25*0.0033)/$C$25)/$F$25</f>
        <v>0.42109999999999997</v>
      </c>
      <c r="F36" s="112">
        <f>E36*$C$36</f>
        <v>973.39</v>
      </c>
      <c r="G36" s="217" t="s">
        <v>220</v>
      </c>
      <c r="H36" s="217"/>
      <c r="I36" s="217"/>
    </row>
    <row r="37" spans="1:9" x14ac:dyDescent="0.25">
      <c r="A37" s="66"/>
      <c r="B37" s="20" t="s">
        <v>219</v>
      </c>
      <c r="C37" s="225"/>
      <c r="D37" s="226"/>
      <c r="E37" s="114">
        <f>(($E$25*12%)/(12)/($C$36))</f>
        <v>2.5524</v>
      </c>
      <c r="F37" s="112">
        <f>E37*$C$36</f>
        <v>5899.95</v>
      </c>
      <c r="G37" s="217" t="s">
        <v>37</v>
      </c>
      <c r="H37" s="217"/>
      <c r="I37" s="217"/>
    </row>
    <row r="38" spans="1:9" x14ac:dyDescent="0.25">
      <c r="A38" s="66" t="s">
        <v>153</v>
      </c>
      <c r="B38" s="20" t="s">
        <v>30</v>
      </c>
      <c r="C38" s="225"/>
      <c r="D38" s="226"/>
      <c r="E38" s="114">
        <f>(($E$25*15%)/(12)/($C$36))</f>
        <v>3.1905000000000001</v>
      </c>
      <c r="F38" s="112">
        <f>E38*$C$36</f>
        <v>7374.94</v>
      </c>
      <c r="G38" s="217" t="s">
        <v>132</v>
      </c>
      <c r="H38" s="217"/>
      <c r="I38" s="217"/>
    </row>
    <row r="39" spans="1:9" x14ac:dyDescent="0.25">
      <c r="A39" s="66" t="s">
        <v>154</v>
      </c>
      <c r="B39" s="20" t="s">
        <v>31</v>
      </c>
      <c r="C39" s="225"/>
      <c r="D39" s="226"/>
      <c r="E39" s="114">
        <f>($E$25*1%)/(12)/($C$36)</f>
        <v>0.2127</v>
      </c>
      <c r="F39" s="112">
        <f>E39*$C$36</f>
        <v>491.66</v>
      </c>
      <c r="G39" s="217" t="s">
        <v>221</v>
      </c>
      <c r="H39" s="217"/>
      <c r="I39" s="217"/>
    </row>
    <row r="40" spans="1:9" x14ac:dyDescent="0.25">
      <c r="A40" s="66" t="s">
        <v>155</v>
      </c>
      <c r="B40" s="20" t="s">
        <v>142</v>
      </c>
      <c r="C40" s="227"/>
      <c r="D40" s="228"/>
      <c r="E40" s="114">
        <f>(90.94*$C$25)/(12)/$C$36</f>
        <v>6.6E-3</v>
      </c>
      <c r="F40" s="112">
        <f>E40*$C$36</f>
        <v>15.26</v>
      </c>
      <c r="G40" s="217" t="s">
        <v>222</v>
      </c>
      <c r="H40" s="217"/>
      <c r="I40" s="217"/>
    </row>
    <row r="41" spans="1:9" x14ac:dyDescent="0.25">
      <c r="A41" s="221" t="s">
        <v>36</v>
      </c>
      <c r="B41" s="221"/>
      <c r="C41" s="221"/>
      <c r="D41" s="221"/>
      <c r="E41" s="221"/>
      <c r="F41" s="67">
        <f>SUM(F29:F34,F36:F40)</f>
        <v>19879.18</v>
      </c>
    </row>
    <row r="42" spans="1:9" x14ac:dyDescent="0.25">
      <c r="B42" s="221" t="s">
        <v>213</v>
      </c>
      <c r="C42" s="221"/>
      <c r="D42" s="221"/>
      <c r="E42" s="221"/>
      <c r="F42" s="67">
        <f>F41/C36</f>
        <v>8.6</v>
      </c>
    </row>
    <row r="45" spans="1:9" x14ac:dyDescent="0.25">
      <c r="E45" s="74"/>
    </row>
    <row r="46" spans="1:9" x14ac:dyDescent="0.25">
      <c r="F46" s="74"/>
    </row>
    <row r="47" spans="1:9" x14ac:dyDescent="0.25">
      <c r="F47" s="74"/>
    </row>
  </sheetData>
  <mergeCells count="47">
    <mergeCell ref="G37:I37"/>
    <mergeCell ref="G38:I38"/>
    <mergeCell ref="C36:D40"/>
    <mergeCell ref="C35:D35"/>
    <mergeCell ref="G33:I33"/>
    <mergeCell ref="G34:I34"/>
    <mergeCell ref="G36:I36"/>
    <mergeCell ref="G15:I15"/>
    <mergeCell ref="G12:I12"/>
    <mergeCell ref="G8:I8"/>
    <mergeCell ref="G4:I6"/>
    <mergeCell ref="G9:I9"/>
    <mergeCell ref="G10:I10"/>
    <mergeCell ref="G11:I11"/>
    <mergeCell ref="B1:I2"/>
    <mergeCell ref="B22:E22"/>
    <mergeCell ref="B42:E42"/>
    <mergeCell ref="B4:B6"/>
    <mergeCell ref="C5:C6"/>
    <mergeCell ref="D5:D6"/>
    <mergeCell ref="E5:E6"/>
    <mergeCell ref="F5:F6"/>
    <mergeCell ref="B24:B26"/>
    <mergeCell ref="C25:C26"/>
    <mergeCell ref="G39:I39"/>
    <mergeCell ref="G40:I40"/>
    <mergeCell ref="G29:I29"/>
    <mergeCell ref="G30:I30"/>
    <mergeCell ref="G31:I31"/>
    <mergeCell ref="G16:I16"/>
    <mergeCell ref="F25:F26"/>
    <mergeCell ref="A5:A8"/>
    <mergeCell ref="A25:A28"/>
    <mergeCell ref="A21:E21"/>
    <mergeCell ref="A41:E41"/>
    <mergeCell ref="D25:D26"/>
    <mergeCell ref="E25:E26"/>
    <mergeCell ref="C16:D20"/>
    <mergeCell ref="C15:D15"/>
    <mergeCell ref="G28:I28"/>
    <mergeCell ref="G24:I26"/>
    <mergeCell ref="G32:I32"/>
    <mergeCell ref="G35:I35"/>
    <mergeCell ref="G17:I17"/>
    <mergeCell ref="G18:I18"/>
    <mergeCell ref="G19:I19"/>
    <mergeCell ref="G20:I20"/>
  </mergeCells>
  <pageMargins left="0.511811024" right="0.511811024" top="0.78740157499999996" bottom="0.78740157499999996" header="0.31496062000000002" footer="0.31496062000000002"/>
  <pageSetup paperSize="9" scale="63" orientation="landscape" horizontalDpi="120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38BAB-433F-4E13-B2CC-C942148D283F}">
  <sheetPr>
    <pageSetUpPr fitToPage="1"/>
  </sheetPr>
  <dimension ref="A1:D25"/>
  <sheetViews>
    <sheetView tabSelected="1" zoomScale="85" zoomScaleNormal="85" workbookViewId="0">
      <selection activeCell="B26" sqref="B26"/>
    </sheetView>
  </sheetViews>
  <sheetFormatPr defaultRowHeight="15" x14ac:dyDescent="0.25"/>
  <cols>
    <col min="1" max="1" width="21.85546875" customWidth="1"/>
    <col min="2" max="2" width="33.7109375" customWidth="1"/>
    <col min="3" max="3" width="68.5703125" customWidth="1"/>
    <col min="4" max="4" width="31.85546875" customWidth="1"/>
  </cols>
  <sheetData>
    <row r="1" spans="1:4" x14ac:dyDescent="0.25">
      <c r="A1" s="254" t="s">
        <v>212</v>
      </c>
      <c r="B1" s="254"/>
      <c r="C1" s="254"/>
      <c r="D1" s="254"/>
    </row>
    <row r="2" spans="1:4" x14ac:dyDescent="0.25">
      <c r="A2" s="254"/>
      <c r="B2" s="254"/>
      <c r="C2" s="254"/>
      <c r="D2" s="254"/>
    </row>
    <row r="3" spans="1:4" x14ac:dyDescent="0.25">
      <c r="A3" s="253"/>
      <c r="B3" s="253"/>
      <c r="C3" s="253"/>
      <c r="D3" s="253"/>
    </row>
    <row r="4" spans="1:4" x14ac:dyDescent="0.25">
      <c r="A4" s="255" t="s">
        <v>143</v>
      </c>
      <c r="B4" s="255"/>
      <c r="C4" s="255"/>
      <c r="D4" s="255"/>
    </row>
    <row r="5" spans="1:4" ht="15.75" x14ac:dyDescent="0.25">
      <c r="A5" s="75" t="s">
        <v>171</v>
      </c>
      <c r="B5" s="75" t="s">
        <v>134</v>
      </c>
      <c r="C5" s="75" t="s">
        <v>135</v>
      </c>
      <c r="D5" s="76" t="s">
        <v>179</v>
      </c>
    </row>
    <row r="6" spans="1:4" ht="15" customHeight="1" x14ac:dyDescent="0.25">
      <c r="A6" s="246" t="s">
        <v>211</v>
      </c>
      <c r="B6" s="77" t="s">
        <v>136</v>
      </c>
      <c r="C6" s="77" t="s">
        <v>137</v>
      </c>
      <c r="D6" s="66">
        <v>7.2</v>
      </c>
    </row>
    <row r="7" spans="1:4" x14ac:dyDescent="0.25">
      <c r="A7" s="247"/>
      <c r="B7" s="20" t="s">
        <v>139</v>
      </c>
      <c r="C7" s="20" t="s">
        <v>140</v>
      </c>
      <c r="D7" s="66">
        <v>65.2</v>
      </c>
    </row>
    <row r="8" spans="1:4" x14ac:dyDescent="0.25">
      <c r="A8" s="247"/>
      <c r="B8" s="20" t="s">
        <v>138</v>
      </c>
      <c r="C8" s="20" t="s">
        <v>145</v>
      </c>
      <c r="D8" s="66">
        <v>104</v>
      </c>
    </row>
    <row r="9" spans="1:4" ht="15.75" x14ac:dyDescent="0.25">
      <c r="A9" s="247"/>
      <c r="B9" s="256" t="s">
        <v>184</v>
      </c>
      <c r="C9" s="256"/>
      <c r="D9" s="79">
        <f>AVERAGE(D6:D8)</f>
        <v>58.8</v>
      </c>
    </row>
    <row r="10" spans="1:4" ht="15.75" x14ac:dyDescent="0.25">
      <c r="A10" s="247"/>
      <c r="B10" s="256" t="s">
        <v>181</v>
      </c>
      <c r="C10" s="256"/>
      <c r="D10" s="79">
        <f>D9*2</f>
        <v>117.6</v>
      </c>
    </row>
    <row r="11" spans="1:4" ht="15.75" x14ac:dyDescent="0.25">
      <c r="A11" s="247"/>
      <c r="B11" s="241" t="s">
        <v>183</v>
      </c>
      <c r="C11" s="242"/>
      <c r="D11" s="79">
        <f>D10*2</f>
        <v>235.2</v>
      </c>
    </row>
    <row r="12" spans="1:4" x14ac:dyDescent="0.25">
      <c r="A12" s="247"/>
      <c r="B12" s="243" t="s">
        <v>187</v>
      </c>
      <c r="C12" s="243"/>
      <c r="D12" s="79">
        <f>D11*26</f>
        <v>6115.2</v>
      </c>
    </row>
    <row r="13" spans="1:4" ht="15" customHeight="1" x14ac:dyDescent="0.25">
      <c r="A13" s="247"/>
      <c r="B13" s="244" t="s">
        <v>144</v>
      </c>
      <c r="C13" s="244"/>
      <c r="D13" s="245"/>
    </row>
    <row r="14" spans="1:4" ht="26.25" customHeight="1" x14ac:dyDescent="0.25">
      <c r="A14" s="247"/>
      <c r="B14" s="78" t="s">
        <v>186</v>
      </c>
      <c r="C14" s="75" t="s">
        <v>170</v>
      </c>
      <c r="D14" s="82" t="s">
        <v>185</v>
      </c>
    </row>
    <row r="15" spans="1:4" x14ac:dyDescent="0.25">
      <c r="A15" s="248"/>
      <c r="B15" s="86">
        <v>1562.73</v>
      </c>
      <c r="C15" s="79">
        <f>D12</f>
        <v>6115.2</v>
      </c>
      <c r="D15" s="81">
        <f>SUM(B15:C15)</f>
        <v>7677.93</v>
      </c>
    </row>
    <row r="16" spans="1:4" ht="43.5" customHeight="1" x14ac:dyDescent="0.25"/>
    <row r="17" spans="1:4" x14ac:dyDescent="0.25">
      <c r="A17" s="257" t="s">
        <v>178</v>
      </c>
      <c r="B17" s="257"/>
      <c r="C17" s="257"/>
      <c r="D17" s="257"/>
    </row>
    <row r="18" spans="1:4" ht="15.75" x14ac:dyDescent="0.25">
      <c r="A18" s="75" t="s">
        <v>171</v>
      </c>
      <c r="B18" s="75" t="s">
        <v>176</v>
      </c>
      <c r="C18" s="75" t="s">
        <v>135</v>
      </c>
      <c r="D18" s="76" t="s">
        <v>179</v>
      </c>
    </row>
    <row r="19" spans="1:4" ht="15" customHeight="1" x14ac:dyDescent="0.25">
      <c r="A19" s="249" t="s">
        <v>211</v>
      </c>
      <c r="B19" s="77" t="s">
        <v>172</v>
      </c>
      <c r="C19" s="77" t="s">
        <v>137</v>
      </c>
      <c r="D19" s="66">
        <v>7.2</v>
      </c>
    </row>
    <row r="20" spans="1:4" ht="15" customHeight="1" x14ac:dyDescent="0.25">
      <c r="A20" s="250"/>
      <c r="B20" s="256" t="s">
        <v>180</v>
      </c>
      <c r="C20" s="256"/>
      <c r="D20" s="66">
        <f>D19*2</f>
        <v>14.4</v>
      </c>
    </row>
    <row r="21" spans="1:4" ht="15" customHeight="1" x14ac:dyDescent="0.25">
      <c r="A21" s="250"/>
      <c r="B21" s="241" t="s">
        <v>183</v>
      </c>
      <c r="C21" s="242"/>
      <c r="D21" s="66">
        <f>D20*2</f>
        <v>28.8</v>
      </c>
    </row>
    <row r="22" spans="1:4" ht="15" customHeight="1" x14ac:dyDescent="0.25">
      <c r="A22" s="250"/>
      <c r="B22" s="243" t="s">
        <v>188</v>
      </c>
      <c r="C22" s="243"/>
      <c r="D22" s="66">
        <f>D21*26</f>
        <v>748.8</v>
      </c>
    </row>
    <row r="23" spans="1:4" x14ac:dyDescent="0.25">
      <c r="A23" s="250"/>
      <c r="B23" s="252" t="s">
        <v>144</v>
      </c>
      <c r="C23" s="244"/>
      <c r="D23" s="245"/>
    </row>
    <row r="24" spans="1:4" ht="31.5" customHeight="1" x14ac:dyDescent="0.25">
      <c r="A24" s="250"/>
      <c r="B24" s="78" t="s">
        <v>186</v>
      </c>
      <c r="C24" s="75" t="s">
        <v>177</v>
      </c>
      <c r="D24" s="82" t="s">
        <v>185</v>
      </c>
    </row>
    <row r="25" spans="1:4" x14ac:dyDescent="0.25">
      <c r="A25" s="251"/>
      <c r="B25" s="86">
        <v>1562.73</v>
      </c>
      <c r="C25" s="66">
        <f>D22</f>
        <v>748.8</v>
      </c>
      <c r="D25" s="81">
        <f>SUM(B25:C25)</f>
        <v>2311.5300000000002</v>
      </c>
    </row>
  </sheetData>
  <mergeCells count="15">
    <mergeCell ref="A3:D3"/>
    <mergeCell ref="A1:D2"/>
    <mergeCell ref="A4:D4"/>
    <mergeCell ref="B20:C20"/>
    <mergeCell ref="A17:D17"/>
    <mergeCell ref="B10:C10"/>
    <mergeCell ref="B12:C12"/>
    <mergeCell ref="B9:C9"/>
    <mergeCell ref="B21:C21"/>
    <mergeCell ref="B22:C22"/>
    <mergeCell ref="B13:D13"/>
    <mergeCell ref="A6:A15"/>
    <mergeCell ref="A19:A25"/>
    <mergeCell ref="B11:C11"/>
    <mergeCell ref="B23:D23"/>
  </mergeCells>
  <pageMargins left="0.511811024" right="0.511811024" top="0.78740157499999996" bottom="0.78740157499999996" header="0.31496062000000002" footer="0.31496062000000002"/>
  <pageSetup paperSize="9" scale="88" orientation="landscape" horizontalDpi="12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P H 7 Z U K K 3 K v S n A A A A + A A A A B I A H A B D b 2 5 m a W c v U G F j a 2 F n Z S 5 4 b W w g o h g A K K A U A A A A A A A A A A A A A A A A A A A A A A A A A A A A h Y / B C o I w H I d f R X Z 3 m 5 N K 5 O + E u i Z E Q X Q d u n S k U 9 x s v l u H H q l X S C i r W 8 f f x 3 f 4 f o / b H d K x q b 2 r 7 I 1 q d Y I C T J E n d d 4 W S p c J G u z Z j 1 D K Y S f y i y i l N 8 n a x K M p E l R Z 2 8 W E O O e w C 3 H b l 4 R R G p B T t j 3 k l W w E + s j q v + w r b a z Q u U Q c j q 8 Y z n A U 4 E U U B n i 1 Z E B m D J n S X 4 V N x Z g C + Y G w G W o 7 9 J J 3 1 l / v g c w T y P s F f w J Q S w M E F A A C A A g A P H 7 Z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x + 2 V A o i k e 4 D g A A A B E A A A A T A B w A R m 9 y b X V s Y X M v U 2 V j d G l v b j E u b S C i G A A o o B Q A A A A A A A A A A A A A A A A A A A A A A A A A A A A r T k 0 u y c z P U w i G 0 I b W A F B L A Q I t A B Q A A g A I A D x + 2 V C i t y r 0 p w A A A P g A A A A S A A A A A A A A A A A A A A A A A A A A A A B D b 2 5 m a W c v U G F j a 2 F n Z S 5 4 b W x Q S w E C L Q A U A A I A C A A 8 f t l Q D 8 r p q 6 Q A A A D p A A A A E w A A A A A A A A A A A A A A A A D z A A A A W 0 N v b n R l b n R f V H l w Z X N d L n h t b F B L A Q I t A B Q A A g A I A D x + 2 V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o e h H e v w P L S J R K g 5 S P i u 2 X A A A A A A I A A A A A A B B m A A A A A Q A A I A A A A O z N j E N w 5 1 s t 4 b g e J l c g J G F e T Y 1 c P 8 w I e c A j b a Y C a M G c A A A A A A 6 A A A A A A g A A I A A A A F 7 f G T q j U K U U z p L s W + E J K U w C n A o Y k R h 4 q x F g F 7 x J c T u F U A A A A D 0 U k d T o V z 1 D 2 9 t m 6 b E 6 4 9 P x S h H I w u N s E a O S R k n 9 l h M B y r b K D y l i j I 0 u x K y r v q a x E l O G M Y 4 R Y z A a j 4 2 T j N j Z + J a B j P E B 8 s a C o f 5 J A e o h 8 z J U Q A A A A B / 9 8 I N E Z 2 W L r 6 n l s S 3 K s T n B 1 A 6 u H w 1 6 y S 4 b W N n v R 6 5 j 8 q G o C g h N d 4 T y U W u 0 J O 5 3 v n I u e 5 + n O T O E 9 q g J F I n q b I 4 = < / D a t a M a s h u p > 
</file>

<file path=customXml/itemProps1.xml><?xml version="1.0" encoding="utf-8"?>
<ds:datastoreItem xmlns:ds="http://schemas.openxmlformats.org/officeDocument/2006/customXml" ds:itemID="{EE3BFEDA-751E-46BB-950D-E216A596737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ITEM 02 - COLETA E DESTINAÇÃO</vt:lpstr>
      <vt:lpstr>ITEM 02 - COLETA EMBASAMENTO</vt:lpstr>
      <vt:lpstr>ITEM 02 - VEÍCULOS</vt:lpstr>
      <vt:lpstr>ITEM 02 - DESTINAÇÃO E DESCARGA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helder</dc:creator>
  <cp:lastModifiedBy>licitacao4</cp:lastModifiedBy>
  <cp:lastPrinted>2024-04-05T14:39:29Z</cp:lastPrinted>
  <dcterms:created xsi:type="dcterms:W3CDTF">2020-06-25T15:41:18Z</dcterms:created>
  <dcterms:modified xsi:type="dcterms:W3CDTF">2024-04-05T14:39:31Z</dcterms:modified>
</cp:coreProperties>
</file>