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# PAVIMENTAÇÃO\ASFALTO\2024 - PAV ASFÁLTICA\13 - MARGINAL 2º ETAPA\Orçamento\"/>
    </mc:Choice>
  </mc:AlternateContent>
  <xr:revisionPtr revIDLastSave="0" documentId="13_ncr:1_{61C34BE7-9C90-4219-841A-926297C029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ORÇAMENTO!$A$10:$G$123</definedName>
    <definedName name="_xlnm.Print_Area" localSheetId="2">BDI!$A$1:$J$46</definedName>
    <definedName name="_xlnm.Print_Area" localSheetId="1">CRONOGRAMA!$A$1:$AB$59</definedName>
    <definedName name="_xlnm.Print_Area" localSheetId="0">ORÇAMENTO!$A$1:$G$131</definedName>
    <definedName name="BDI.Opcao" hidden="1">[2]DADOS!$F$18</definedName>
    <definedName name="DESONERACAO" hidden="1">IF(OR(Import.Desoneracao="DESONERADO",Import.Desoneracao="SIM"),"SIM","NÃO")</definedName>
    <definedName name="Import.CR">[1]Dados!$G$8</definedName>
    <definedName name="Import.Desoneracao" hidden="1">OFFSET([2]DADOS!$G$18,0,-1)</definedName>
    <definedName name="Import.Município">[1]Dados!$G$7</definedName>
    <definedName name="Import.Proponente">[1]Dados!$G$6</definedName>
  </definedNames>
  <calcPr calcId="191029"/>
</workbook>
</file>

<file path=xl/calcChain.xml><?xml version="1.0" encoding="utf-8"?>
<calcChain xmlns="http://schemas.openxmlformats.org/spreadsheetml/2006/main">
  <c r="H14" i="5" l="1"/>
  <c r="G14" i="5"/>
  <c r="J29" i="5"/>
  <c r="J28" i="5"/>
  <c r="J30" i="5" s="1"/>
  <c r="J31" i="5" s="1"/>
  <c r="F35" i="5" s="1"/>
  <c r="I26" i="5"/>
  <c r="I25" i="5"/>
  <c r="I24" i="5"/>
  <c r="I23" i="5"/>
  <c r="I22" i="5"/>
  <c r="H12" i="5"/>
  <c r="D26" i="5"/>
  <c r="D25" i="5"/>
  <c r="D24" i="5"/>
  <c r="D23" i="5"/>
  <c r="D22" i="5"/>
  <c r="E28" i="5"/>
  <c r="E30" i="5" s="1"/>
  <c r="E29" i="5"/>
  <c r="S28" i="2"/>
  <c r="K27" i="2"/>
  <c r="F17" i="2"/>
  <c r="F18" i="2"/>
  <c r="F19" i="2"/>
  <c r="F20" i="2"/>
  <c r="F21" i="2"/>
  <c r="F22" i="2"/>
  <c r="F23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I17" i="1"/>
  <c r="G81" i="1" l="1"/>
  <c r="F80" i="1"/>
  <c r="F82" i="1"/>
  <c r="I11" i="1"/>
  <c r="I12" i="1"/>
  <c r="G12" i="1" s="1"/>
  <c r="I13" i="1"/>
  <c r="I14" i="1"/>
  <c r="G14" i="1" s="1"/>
  <c r="I15" i="1"/>
  <c r="I16" i="1"/>
  <c r="G16" i="1" s="1"/>
  <c r="F17" i="1"/>
  <c r="G17" i="1" s="1"/>
  <c r="I18" i="1"/>
  <c r="I19" i="1"/>
  <c r="F19" i="1" s="1"/>
  <c r="I20" i="1"/>
  <c r="F20" i="1" s="1"/>
  <c r="G20" i="1" s="1"/>
  <c r="I21" i="1"/>
  <c r="G21" i="1" s="1"/>
  <c r="I22" i="1"/>
  <c r="I23" i="1"/>
  <c r="F23" i="1" s="1"/>
  <c r="G23" i="1" s="1"/>
  <c r="I24" i="1"/>
  <c r="I25" i="1"/>
  <c r="I26" i="1"/>
  <c r="I27" i="1"/>
  <c r="I28" i="1"/>
  <c r="I29" i="1"/>
  <c r="I30" i="1"/>
  <c r="F30" i="1" s="1"/>
  <c r="I31" i="1"/>
  <c r="I32" i="1"/>
  <c r="F32" i="1" s="1"/>
  <c r="I33" i="1"/>
  <c r="I34" i="1"/>
  <c r="G34" i="1" s="1"/>
  <c r="I35" i="1"/>
  <c r="F35" i="1" s="1"/>
  <c r="I36" i="1"/>
  <c r="F36" i="1" s="1"/>
  <c r="I37" i="1"/>
  <c r="F37" i="1" s="1"/>
  <c r="I38" i="1"/>
  <c r="F38" i="1" s="1"/>
  <c r="I39" i="1"/>
  <c r="G39" i="1" s="1"/>
  <c r="I40" i="1"/>
  <c r="F40" i="1" s="1"/>
  <c r="I41" i="1"/>
  <c r="F41" i="1" s="1"/>
  <c r="G41" i="1" s="1"/>
  <c r="I42" i="1"/>
  <c r="F42" i="1" s="1"/>
  <c r="G42" i="1" s="1"/>
  <c r="I43" i="1"/>
  <c r="G43" i="1" s="1"/>
  <c r="I44" i="1"/>
  <c r="I45" i="1"/>
  <c r="I46" i="1"/>
  <c r="I47" i="1"/>
  <c r="G47" i="1" s="1"/>
  <c r="I48" i="1"/>
  <c r="F48" i="1" s="1"/>
  <c r="G48" i="1" s="1"/>
  <c r="I49" i="1"/>
  <c r="F49" i="1" s="1"/>
  <c r="I50" i="1"/>
  <c r="F50" i="1" s="1"/>
  <c r="I51" i="1"/>
  <c r="G51" i="1" s="1"/>
  <c r="I52" i="1"/>
  <c r="I53" i="1"/>
  <c r="I54" i="1"/>
  <c r="I55" i="1"/>
  <c r="I56" i="1"/>
  <c r="I57" i="1"/>
  <c r="I58" i="1"/>
  <c r="G58" i="1" s="1"/>
  <c r="I59" i="1"/>
  <c r="F59" i="1" s="1"/>
  <c r="I60" i="1"/>
  <c r="F60" i="1" s="1"/>
  <c r="G60" i="1" s="1"/>
  <c r="I61" i="1"/>
  <c r="F61" i="1" s="1"/>
  <c r="G61" i="1" s="1"/>
  <c r="I62" i="1"/>
  <c r="F62" i="1" s="1"/>
  <c r="G62" i="1" s="1"/>
  <c r="I63" i="1"/>
  <c r="F63" i="1" s="1"/>
  <c r="G63" i="1" s="1"/>
  <c r="I64" i="1"/>
  <c r="F64" i="1" s="1"/>
  <c r="I65" i="1"/>
  <c r="F65" i="1" s="1"/>
  <c r="I66" i="1"/>
  <c r="F66" i="1" s="1"/>
  <c r="I67" i="1"/>
  <c r="G67" i="1" s="1"/>
  <c r="I68" i="1"/>
  <c r="F68" i="1" s="1"/>
  <c r="G68" i="1" s="1"/>
  <c r="I69" i="1"/>
  <c r="G69" i="1" s="1"/>
  <c r="I70" i="1"/>
  <c r="F70" i="1" s="1"/>
  <c r="G70" i="1" s="1"/>
  <c r="I71" i="1"/>
  <c r="I72" i="1"/>
  <c r="G72" i="1" s="1"/>
  <c r="I73" i="1"/>
  <c r="I74" i="1"/>
  <c r="I75" i="1"/>
  <c r="G75" i="1" s="1"/>
  <c r="I76" i="1"/>
  <c r="I77" i="1"/>
  <c r="G77" i="1" s="1"/>
  <c r="I78" i="1"/>
  <c r="F78" i="1" s="1"/>
  <c r="I79" i="1"/>
  <c r="G79" i="1" s="1"/>
  <c r="I80" i="1"/>
  <c r="I81" i="1"/>
  <c r="I82" i="1"/>
  <c r="I83" i="1"/>
  <c r="G83" i="1" s="1"/>
  <c r="I84" i="1"/>
  <c r="F84" i="1" s="1"/>
  <c r="I85" i="1"/>
  <c r="G85" i="1" s="1"/>
  <c r="I86" i="1"/>
  <c r="F86" i="1" s="1"/>
  <c r="I87" i="1"/>
  <c r="F87" i="1" s="1"/>
  <c r="I88" i="1"/>
  <c r="I89" i="1"/>
  <c r="F89" i="1" s="1"/>
  <c r="G89" i="1" s="1"/>
  <c r="I90" i="1"/>
  <c r="F90" i="1" s="1"/>
  <c r="G90" i="1" s="1"/>
  <c r="I91" i="1"/>
  <c r="F91" i="1" s="1"/>
  <c r="I92" i="1"/>
  <c r="F92" i="1" s="1"/>
  <c r="I93" i="1"/>
  <c r="I94" i="1"/>
  <c r="I95" i="1"/>
  <c r="I96" i="1"/>
  <c r="F96" i="1" s="1"/>
  <c r="I97" i="1"/>
  <c r="F97" i="1" s="1"/>
  <c r="I98" i="1"/>
  <c r="F98" i="1" s="1"/>
  <c r="I99" i="1"/>
  <c r="G99" i="1" s="1"/>
  <c r="I100" i="1"/>
  <c r="I101" i="1"/>
  <c r="I102" i="1"/>
  <c r="I103" i="1"/>
  <c r="F103" i="1" s="1"/>
  <c r="G103" i="1" s="1"/>
  <c r="I104" i="1"/>
  <c r="I105" i="1"/>
  <c r="I106" i="1"/>
  <c r="F106" i="1" s="1"/>
  <c r="I107" i="1"/>
  <c r="I108" i="1"/>
  <c r="I109" i="1"/>
  <c r="I110" i="1"/>
  <c r="F110" i="1" s="1"/>
  <c r="G110" i="1" s="1"/>
  <c r="I111" i="1"/>
  <c r="F111" i="1" s="1"/>
  <c r="I112" i="1"/>
  <c r="F112" i="1" s="1"/>
  <c r="I113" i="1"/>
  <c r="I114" i="1"/>
  <c r="I115" i="1"/>
  <c r="I116" i="1"/>
  <c r="I117" i="1"/>
  <c r="F117" i="1" s="1"/>
  <c r="I118" i="1"/>
  <c r="G118" i="1" s="1"/>
  <c r="I119" i="1"/>
  <c r="F119" i="1" s="1"/>
  <c r="I120" i="1"/>
  <c r="G120" i="1" s="1"/>
  <c r="I121" i="1"/>
  <c r="F121" i="1" s="1"/>
  <c r="G121" i="1" s="1"/>
  <c r="I122" i="1"/>
  <c r="G122" i="1" s="1"/>
  <c r="G80" i="1" l="1"/>
  <c r="G40" i="1"/>
  <c r="G82" i="1"/>
  <c r="F101" i="1"/>
  <c r="G101" i="1" s="1"/>
  <c r="F100" i="1"/>
  <c r="G100" i="1" s="1"/>
  <c r="F88" i="1"/>
  <c r="G88" i="1" s="1"/>
  <c r="F29" i="1"/>
  <c r="G29" i="1" s="1"/>
  <c r="F22" i="1"/>
  <c r="G22" i="1" s="1"/>
  <c r="F18" i="1"/>
  <c r="G18" i="1" s="1"/>
  <c r="G87" i="1"/>
  <c r="G50" i="1"/>
  <c r="G49" i="1"/>
  <c r="F28" i="1"/>
  <c r="G28" i="1" s="1"/>
  <c r="F27" i="1"/>
  <c r="G27" i="1" s="1"/>
  <c r="G19" i="1"/>
  <c r="G92" i="1"/>
  <c r="F116" i="1"/>
  <c r="G116" i="1" s="1"/>
  <c r="F109" i="1"/>
  <c r="G109" i="1" s="1"/>
  <c r="G30" i="1"/>
  <c r="F108" i="1"/>
  <c r="G108" i="1" s="1"/>
  <c r="F107" i="1"/>
  <c r="G107" i="1" s="1"/>
  <c r="F55" i="1"/>
  <c r="G55" i="1" s="1"/>
  <c r="F115" i="1"/>
  <c r="G115" i="1" s="1"/>
  <c r="F113" i="1"/>
  <c r="G113" i="1" s="1"/>
  <c r="F52" i="1"/>
  <c r="G52" i="1" s="1"/>
  <c r="F102" i="1"/>
  <c r="G102" i="1" s="1"/>
  <c r="F56" i="1"/>
  <c r="G56" i="1" s="1"/>
  <c r="F15" i="1"/>
  <c r="G15" i="1" s="1"/>
  <c r="F114" i="1"/>
  <c r="G114" i="1" s="1"/>
  <c r="G32" i="1"/>
  <c r="F95" i="1"/>
  <c r="G95" i="1" s="1"/>
  <c r="F94" i="1"/>
  <c r="G94" i="1" s="1"/>
  <c r="F31" i="1"/>
  <c r="G31" i="1" s="1"/>
  <c r="F57" i="1"/>
  <c r="G57" i="1" s="1"/>
  <c r="F13" i="1"/>
  <c r="G13" i="1" s="1"/>
  <c r="F54" i="1"/>
  <c r="G54" i="1" s="1"/>
  <c r="F53" i="1"/>
  <c r="G53" i="1" s="1"/>
  <c r="F33" i="1"/>
  <c r="G33" i="1" s="1"/>
  <c r="F93" i="1"/>
  <c r="G93" i="1" s="1"/>
  <c r="G119" i="1"/>
  <c r="G59" i="1"/>
  <c r="G98" i="1"/>
  <c r="F76" i="1"/>
  <c r="G76" i="1" s="1"/>
  <c r="F74" i="1"/>
  <c r="G74" i="1" s="1"/>
  <c r="F25" i="1"/>
  <c r="G25" i="1" s="1"/>
  <c r="G35" i="1"/>
  <c r="F73" i="1"/>
  <c r="G73" i="1" s="1"/>
  <c r="F24" i="1"/>
  <c r="G24" i="1" s="1"/>
  <c r="F71" i="1"/>
  <c r="G71" i="1" s="1"/>
  <c r="F46" i="1"/>
  <c r="G46" i="1" s="1"/>
  <c r="F105" i="1"/>
  <c r="G105" i="1" s="1"/>
  <c r="F104" i="1"/>
  <c r="G104" i="1" s="1"/>
  <c r="G78" i="1"/>
  <c r="G38" i="1"/>
  <c r="G117" i="1"/>
  <c r="G97" i="1"/>
  <c r="G37" i="1"/>
  <c r="F26" i="1"/>
  <c r="G26" i="1" s="1"/>
  <c r="G96" i="1"/>
  <c r="G36" i="1"/>
  <c r="F45" i="1"/>
  <c r="G45" i="1" s="1"/>
  <c r="G112" i="1"/>
  <c r="F44" i="1"/>
  <c r="G44" i="1" s="1"/>
  <c r="G111" i="1"/>
  <c r="G91" i="1"/>
  <c r="G106" i="1"/>
  <c r="G86" i="1"/>
  <c r="G66" i="1"/>
  <c r="G65" i="1"/>
  <c r="G84" i="1"/>
  <c r="G64" i="1"/>
  <c r="E31" i="5" l="1"/>
  <c r="H17" i="2"/>
  <c r="J17" i="2" s="1"/>
  <c r="L17" i="2" s="1"/>
  <c r="N17" i="2" s="1"/>
  <c r="P17" i="2" s="1"/>
  <c r="R17" i="2" s="1"/>
  <c r="T17" i="2" s="1"/>
  <c r="V17" i="2" s="1"/>
  <c r="X17" i="2" s="1"/>
  <c r="Z17" i="2" s="1"/>
  <c r="AB17" i="2" s="1"/>
  <c r="AE17" i="2" s="1"/>
  <c r="H18" i="2"/>
  <c r="J18" i="2" s="1"/>
  <c r="L18" i="2" s="1"/>
  <c r="N18" i="2" s="1"/>
  <c r="P18" i="2" s="1"/>
  <c r="R18" i="2" s="1"/>
  <c r="T18" i="2" s="1"/>
  <c r="V18" i="2" s="1"/>
  <c r="X18" i="2" s="1"/>
  <c r="Z18" i="2" s="1"/>
  <c r="H19" i="2"/>
  <c r="J19" i="2" s="1"/>
  <c r="L19" i="2" s="1"/>
  <c r="N19" i="2" s="1"/>
  <c r="P19" i="2" s="1"/>
  <c r="R19" i="2" s="1"/>
  <c r="T19" i="2" s="1"/>
  <c r="V19" i="2" s="1"/>
  <c r="X19" i="2" s="1"/>
  <c r="Z19" i="2" s="1"/>
  <c r="H20" i="2"/>
  <c r="J20" i="2" s="1"/>
  <c r="L20" i="2" s="1"/>
  <c r="N20" i="2" s="1"/>
  <c r="P20" i="2" s="1"/>
  <c r="R20" i="2" s="1"/>
  <c r="T20" i="2" s="1"/>
  <c r="V20" i="2" s="1"/>
  <c r="X20" i="2" s="1"/>
  <c r="Z20" i="2" s="1"/>
  <c r="H21" i="2"/>
  <c r="J21" i="2" s="1"/>
  <c r="L21" i="2" s="1"/>
  <c r="N21" i="2" s="1"/>
  <c r="P21" i="2" s="1"/>
  <c r="R21" i="2" s="1"/>
  <c r="T21" i="2" s="1"/>
  <c r="V21" i="2" s="1"/>
  <c r="X21" i="2" s="1"/>
  <c r="Z21" i="2" s="1"/>
  <c r="H22" i="2"/>
  <c r="J22" i="2" s="1"/>
  <c r="L22" i="2" s="1"/>
  <c r="N22" i="2" s="1"/>
  <c r="H23" i="2"/>
  <c r="J23" i="2" s="1"/>
  <c r="L23" i="2" s="1"/>
  <c r="N23" i="2" s="1"/>
  <c r="P23" i="2" s="1"/>
  <c r="R23" i="2" s="1"/>
  <c r="T23" i="2" s="1"/>
  <c r="V23" i="2" s="1"/>
  <c r="X23" i="2" s="1"/>
  <c r="Z23" i="2" s="1"/>
  <c r="F24" i="2"/>
  <c r="H24" i="2" s="1"/>
  <c r="J24" i="2" s="1"/>
  <c r="L24" i="2" s="1"/>
  <c r="N24" i="2" s="1"/>
  <c r="P24" i="2" s="1"/>
  <c r="R24" i="2" s="1"/>
  <c r="T24" i="2" s="1"/>
  <c r="V24" i="2" s="1"/>
  <c r="X24" i="2" s="1"/>
  <c r="Z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Z25" i="2" s="1"/>
  <c r="AB25" i="2" s="1"/>
  <c r="AE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Z26" i="2" s="1"/>
  <c r="AB26" i="2" s="1"/>
  <c r="AE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Z27" i="2" s="1"/>
  <c r="AB27" i="2" s="1"/>
  <c r="AE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AB28" i="2" s="1"/>
  <c r="AE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AB29" i="2" s="1"/>
  <c r="AE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AB30" i="2" s="1"/>
  <c r="AE30" i="2" s="1"/>
  <c r="F31" i="2"/>
  <c r="H31" i="2" s="1"/>
  <c r="J31" i="2" s="1"/>
  <c r="L31" i="2" s="1"/>
  <c r="N31" i="2" s="1"/>
  <c r="P31" i="2" s="1"/>
  <c r="R31" i="2" s="1"/>
  <c r="T31" i="2" s="1"/>
  <c r="V31" i="2" s="1"/>
  <c r="X31" i="2" s="1"/>
  <c r="Z31" i="2" s="1"/>
  <c r="AB31" i="2" s="1"/>
  <c r="AE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Z32" i="2" s="1"/>
  <c r="AB32" i="2" s="1"/>
  <c r="AE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Z33" i="2" s="1"/>
  <c r="AB33" i="2" s="1"/>
  <c r="AE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Z34" i="2" s="1"/>
  <c r="AB34" i="2" s="1"/>
  <c r="AE34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Z35" i="2" s="1"/>
  <c r="AB35" i="2" s="1"/>
  <c r="AE35" i="2" s="1"/>
  <c r="F36" i="2"/>
  <c r="H36" i="2" s="1"/>
  <c r="J36" i="2" s="1"/>
  <c r="L36" i="2" s="1"/>
  <c r="N36" i="2" s="1"/>
  <c r="P36" i="2" s="1"/>
  <c r="R36" i="2" s="1"/>
  <c r="T36" i="2" s="1"/>
  <c r="V36" i="2" s="1"/>
  <c r="X36" i="2" s="1"/>
  <c r="Z36" i="2" s="1"/>
  <c r="AB36" i="2" s="1"/>
  <c r="AE36" i="2" s="1"/>
  <c r="F37" i="2"/>
  <c r="H37" i="2" s="1"/>
  <c r="J37" i="2" s="1"/>
  <c r="L37" i="2" s="1"/>
  <c r="N37" i="2" s="1"/>
  <c r="P37" i="2" s="1"/>
  <c r="R37" i="2" s="1"/>
  <c r="T37" i="2" s="1"/>
  <c r="V37" i="2" s="1"/>
  <c r="X37" i="2" s="1"/>
  <c r="Z37" i="2" s="1"/>
  <c r="AB37" i="2" s="1"/>
  <c r="AE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Z39" i="2" s="1"/>
  <c r="AB39" i="2" s="1"/>
  <c r="AE39" i="2" s="1"/>
  <c r="F40" i="2"/>
  <c r="H40" i="2" s="1"/>
  <c r="J40" i="2" s="1"/>
  <c r="L40" i="2" s="1"/>
  <c r="N40" i="2" s="1"/>
  <c r="P40" i="2" s="1"/>
  <c r="R40" i="2" s="1"/>
  <c r="T40" i="2" s="1"/>
  <c r="V40" i="2" s="1"/>
  <c r="X40" i="2" s="1"/>
  <c r="Z40" i="2" s="1"/>
  <c r="AB40" i="2" s="1"/>
  <c r="AE40" i="2" s="1"/>
  <c r="I123" i="1"/>
  <c r="AB24" i="2" l="1"/>
  <c r="AE24" i="2" s="1"/>
  <c r="AB20" i="2"/>
  <c r="AE20" i="2" s="1"/>
  <c r="AB19" i="2"/>
  <c r="AE19" i="2" s="1"/>
  <c r="AB23" i="2"/>
  <c r="AE23" i="2" s="1"/>
  <c r="AB21" i="2"/>
  <c r="AE21" i="2" s="1"/>
  <c r="AB18" i="2"/>
  <c r="AE18" i="2" s="1"/>
  <c r="F123" i="1"/>
  <c r="G123" i="1" s="1"/>
  <c r="G125" i="1" s="1"/>
  <c r="P22" i="2"/>
  <c r="R22" i="2" s="1"/>
  <c r="T22" i="2" s="1"/>
  <c r="V22" i="2" s="1"/>
  <c r="X22" i="2" s="1"/>
  <c r="Z22" i="2" s="1"/>
  <c r="R38" i="2"/>
  <c r="T38" i="2" s="1"/>
  <c r="V38" i="2" s="1"/>
  <c r="X38" i="2" s="1"/>
  <c r="Z38" i="2" s="1"/>
  <c r="AB38" i="2" s="1"/>
  <c r="AE38" i="2" s="1"/>
  <c r="C14" i="5"/>
  <c r="B14" i="5"/>
  <c r="AB22" i="2" l="1"/>
  <c r="AE22" i="2" s="1"/>
  <c r="F41" i="2"/>
  <c r="H41" i="2" s="1"/>
  <c r="J41" i="2" s="1"/>
  <c r="L41" i="2" s="1"/>
  <c r="N41" i="2" s="1"/>
  <c r="P41" i="2" s="1"/>
  <c r="F42" i="2"/>
  <c r="H42" i="2" s="1"/>
  <c r="J42" i="2" s="1"/>
  <c r="L42" i="2" s="1"/>
  <c r="N42" i="2" s="1"/>
  <c r="P42" i="2" s="1"/>
  <c r="F43" i="2"/>
  <c r="H43" i="2" s="1"/>
  <c r="J43" i="2" s="1"/>
  <c r="L43" i="2" s="1"/>
  <c r="N43" i="2" s="1"/>
  <c r="P43" i="2" s="1"/>
  <c r="R43" i="2" l="1"/>
  <c r="T43" i="2" s="1"/>
  <c r="V43" i="2" s="1"/>
  <c r="X43" i="2" s="1"/>
  <c r="Z43" i="2" s="1"/>
  <c r="AB43" i="2" s="1"/>
  <c r="R42" i="2"/>
  <c r="T42" i="2" s="1"/>
  <c r="V42" i="2" s="1"/>
  <c r="X42" i="2" s="1"/>
  <c r="Z42" i="2" s="1"/>
  <c r="AB42" i="2" s="1"/>
  <c r="AE42" i="2" s="1"/>
  <c r="R41" i="2"/>
  <c r="T41" i="2" s="1"/>
  <c r="V41" i="2" s="1"/>
  <c r="X41" i="2" s="1"/>
  <c r="Z41" i="2" s="1"/>
  <c r="AB41" i="2" s="1"/>
  <c r="AE41" i="2" s="1"/>
  <c r="C12" i="5"/>
  <c r="A12" i="2"/>
  <c r="C45" i="2" l="1"/>
  <c r="A35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AA44" i="2" l="1"/>
  <c r="AA45" i="2" s="1"/>
  <c r="W44" i="2"/>
  <c r="W45" i="2" s="1"/>
  <c r="Y44" i="2"/>
  <c r="Y45" i="2" s="1"/>
  <c r="G44" i="2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X44" i="2" s="1"/>
  <c r="Z44" i="2" s="1"/>
  <c r="AB44" i="2" s="1"/>
  <c r="E45" i="2"/>
  <c r="M10" i="1" l="1"/>
  <c r="M9" i="1" s="1"/>
  <c r="E46" i="2" l="1"/>
  <c r="G46" i="2" l="1"/>
  <c r="I46" i="2" s="1"/>
  <c r="K46" i="2" s="1"/>
  <c r="M46" i="2" s="1"/>
  <c r="O46" i="2" s="1"/>
  <c r="Q46" i="2" s="1"/>
  <c r="S46" i="2" s="1"/>
  <c r="U46" i="2" s="1"/>
  <c r="W46" i="2" s="1"/>
  <c r="Y46" i="2" s="1"/>
  <c r="AA46" i="2" s="1"/>
</calcChain>
</file>

<file path=xl/sharedStrings.xml><?xml version="1.0" encoding="utf-8"?>
<sst xmlns="http://schemas.openxmlformats.org/spreadsheetml/2006/main" count="560" uniqueCount="424">
  <si>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</si>
  <si>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</si>
  <si>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</si>
  <si>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</si>
  <si>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</si>
  <si>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</si>
  <si>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</si>
  <si>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</si>
  <si>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</si>
  <si>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</si>
  <si>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</si>
  <si>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</si>
  <si>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</si>
  <si>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</si>
  <si>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</si>
  <si>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</si>
  <si>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</si>
  <si>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</si>
  <si>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</si>
  <si>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</si>
  <si>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</si>
  <si>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</si>
  <si>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</si>
  <si>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</si>
  <si>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</si>
  <si>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</si>
  <si>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</si>
  <si>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</si>
  <si>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</si>
  <si>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</si>
  <si>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</si>
  <si>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</si>
  <si>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</si>
  <si>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</si>
  <si>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</si>
  <si>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</si>
  <si>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</si>
  <si>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</si>
  <si>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</si>
  <si>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</si>
  <si>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</si>
  <si>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</si>
  <si>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>Grau de Sigilo</t>
  </si>
  <si>
    <t>#PUBLICO</t>
  </si>
  <si>
    <t>MUNICÍPIO DE CORONEL VIVIDA</t>
  </si>
  <si>
    <t>Nome:</t>
  </si>
  <si>
    <t>Responsável legal ou procurador</t>
  </si>
  <si>
    <t>CPF/CNPJ ou Crea</t>
  </si>
  <si>
    <t>Programa</t>
  </si>
  <si>
    <t>Mês 07</t>
  </si>
  <si>
    <t>Mês 08</t>
  </si>
  <si>
    <t>Mês 09</t>
  </si>
  <si>
    <t/>
  </si>
  <si>
    <t>PAVIMENTAÇÃO</t>
  </si>
  <si>
    <t>COMP 02</t>
  </si>
  <si>
    <t>TERRAPLENAGEM</t>
  </si>
  <si>
    <t>Desmatamento, destocamento, limpeza de área e estocagem do material de limpeza com árvores de diâmetro até 0,15 m</t>
  </si>
  <si>
    <t>Destocamento de árvores com diâmetro de 0,15 a 0,30 m</t>
  </si>
  <si>
    <t>Destocamento de árvores com diâmetro maior que 0,30 m</t>
  </si>
  <si>
    <t>Corte e remoção de árvores</t>
  </si>
  <si>
    <t>Compactação de aterros a 100% do Proctor normal</t>
  </si>
  <si>
    <t>Escavação, carga e transporte de solos moles na distância de 3.000 m - caminho de serviço pavimentado - com caminhão basculante de 14 m³</t>
  </si>
  <si>
    <t>Preenchimento de rebaixo com rachão</t>
  </si>
  <si>
    <t>Escavação, carga e transporte de material de 1ª categoria - DMT de 50 a 200 m - caminho de serviço em leito natural - com escavadeira e caminhão basculante de 14 m³</t>
  </si>
  <si>
    <t>Escavação, carga e transporte de material de 1ª categoria - DMT de 200 a 400 m - caminho de serviço em leito natural - com escavadeira e caminhão basculante de 14 m³</t>
  </si>
  <si>
    <t>Escavação, carga e transporte de material de 2ª categoria - DMT de 200 a 400 m - caminho de serviço em leito natural - com escavadeira e caminhão basculante de 14 m³</t>
  </si>
  <si>
    <t>Escavação, carga e transporte de material de 2 categoria - DMT de 800 a
1.000 m - caminho de serviço em leito natural - com escavadeira e caminhão basculante de 14 m³</t>
  </si>
  <si>
    <t>Transporte com caminhão basculante de 14 m³ - rodovia em leito natural</t>
  </si>
  <si>
    <t>Regularização compac.subleito 100% PN (A)</t>
  </si>
  <si>
    <t>Remoção mecanizada de camada granular do pavimento</t>
  </si>
  <si>
    <t>Remoção mecanizada de revestimento asfáltico</t>
  </si>
  <si>
    <t>Camada de bloqueio c/ pedra o &lt; 3/4"</t>
  </si>
  <si>
    <t>Sub-base de macadame seco com brita comercial</t>
  </si>
  <si>
    <t>Base de brita graduada com brita comercial</t>
  </si>
  <si>
    <t>Imprimação com emulsão asfáltica - exclusive fornec. da emulsão</t>
  </si>
  <si>
    <t>Pintura de ligação exclusive fornec. da emulsão</t>
  </si>
  <si>
    <t>Concreto asfáltico - faixa C - areia e brita comerciais - excl. forn. do CAP</t>
  </si>
  <si>
    <t>LIGANTES BETUMINOSOS</t>
  </si>
  <si>
    <t>Fornecimento de CAP 50/70</t>
  </si>
  <si>
    <t>Fornecimento de emulsão asfáltica p/imprimação EAI</t>
  </si>
  <si>
    <t>Fornecimento de emulsão RR-1C</t>
  </si>
  <si>
    <t>DRENAGEM E OBRAS DE ARTE CORRENTES</t>
  </si>
  <si>
    <t>Escavação mecânica de vala em material de 1ª categoria</t>
  </si>
  <si>
    <t>Escavação mecânica de vala em material de 2ª categoria</t>
  </si>
  <si>
    <t>Reaterro e compactação com soquete vibratório</t>
  </si>
  <si>
    <t>Corpo de BSTC D = 0,40 m PA3 - areia, brita e pedra de mão comerciais</t>
  </si>
  <si>
    <t>Corpo de BSTC D = 0,60 m PA3 - areia, brita e pedra de mão comerciais</t>
  </si>
  <si>
    <t>Corpo de BSTC D = 0,80 m PA3 - areia, brita e pedra de mão comerciais</t>
  </si>
  <si>
    <t>Boca de BSTC D = 0,80 m - esconsidade 0° - areia e brita comerciais - alas esconsas</t>
  </si>
  <si>
    <t>Dreno longitudinal profundo para corte em solo - DPS 08 - tubo PEAD e brita comercial</t>
  </si>
  <si>
    <t>Meio-fio de concreto - MFC 01 - areia e brita comerciais - fôrma de madeira</t>
  </si>
  <si>
    <t>Meio-fio de concreto - MFC 08 - areia e brita comerciais - fôrma de madeira</t>
  </si>
  <si>
    <t>Dissipador de energia - DEB 04 - areia, brita e pedra de mão comerciais (BSTC Ø 80)</t>
  </si>
  <si>
    <t>Boca de lobo simples - grelha de concreto - BLSG 02 - areia e brita comerciais</t>
  </si>
  <si>
    <t>Boca de lobo simples - grelha de concreto - BLSG 03 - areia e brita comerciais</t>
  </si>
  <si>
    <t>Enleivamento</t>
  </si>
  <si>
    <t>Defensa semimaleável simples - fornecimento e implantação</t>
  </si>
  <si>
    <t>Remoção de cerca com mourões de concreto</t>
  </si>
  <si>
    <t>Execução de passeio (calçada) ou piso de concreto com concreto moldado in loco, usinado C20, acabamento convencional, não armado. (Esp. 5 cm)</t>
  </si>
  <si>
    <t>Remanejamento postes linha transmissão</t>
  </si>
  <si>
    <t>SINALIZAÇÃO</t>
  </si>
  <si>
    <t>Placa de regulamentação em aço, R1 lado 0,248 m - película retrorrefletiva
tipo I + SI - fornecimento e implantação</t>
  </si>
  <si>
    <t>Placa de regulamentação em aço, R2 lado 0,60 m - película retrorrefletiva tipo I
+ SI - fornecimento e implantação</t>
  </si>
  <si>
    <t>Placa em aço - 2,00 x 1,00 m - película retrorrefletiva tipo I + I - fornecimento e implantação</t>
  </si>
  <si>
    <t>Suporte metálico galvanizado para placa de advertência ou regulamentação - lado ou diâmetro de 0,60 m - fornecimento e implantação</t>
  </si>
  <si>
    <t>Suporte metálico galvanizado para placa de regulamentação - R1 - lado de 0,248 m - fornecimento e implantação</t>
  </si>
  <si>
    <t>Suporte metálico galvanizado para placa de regulamentação - R2 - lado de 0,60 m - fornecimento e implantação</t>
  </si>
  <si>
    <t>Suporte metálico galvanizado para placas - 2,00 x 1,00 m - fornecimento e implantação</t>
  </si>
  <si>
    <t>Pintura de faixa com tinta acrílica emulsionada em água - espessura de 0,5
mm</t>
  </si>
  <si>
    <t>Pintura de setas e zebrados com tinta acrílica emulsionada em água - espessura de 0,5 mm</t>
  </si>
  <si>
    <t>Tacha refletiva em resina sintética - monodirecional tipo III - com um pino - fornecimento e colocação</t>
  </si>
  <si>
    <t>ILUMINAÇÃO</t>
  </si>
  <si>
    <t>Administração Local</t>
  </si>
  <si>
    <t>Fornecimento e instalação de placa de obra com chapa galvanizada e estrutura de madeira (dim. 3,00m x 1,50m)</t>
  </si>
  <si>
    <t>m2</t>
  </si>
  <si>
    <t>ud</t>
  </si>
  <si>
    <t>m3</t>
  </si>
  <si>
    <t>tkm</t>
  </si>
  <si>
    <t>t</t>
  </si>
  <si>
    <t>m</t>
  </si>
  <si>
    <t>un</t>
  </si>
  <si>
    <t>Mês 10</t>
  </si>
  <si>
    <t>Mês 11</t>
  </si>
  <si>
    <t>Mês 12</t>
  </si>
  <si>
    <t>DESCRIÇÃO DOS AGRUPADORES
 DE SERVIÇOS</t>
  </si>
  <si>
    <t>COMP 03</t>
  </si>
  <si>
    <t>Canteiro de Obras</t>
  </si>
  <si>
    <t>Mobilização de Equipamentos</t>
  </si>
  <si>
    <t>Desmobilização de Equipamentos</t>
  </si>
  <si>
    <t>OBJETO: CONTRUÇÃO DE VIA MARGINAL A BR-158 E BR-373 - CORONEL VIVIDA - PR     2ª ETAPA</t>
  </si>
  <si>
    <t>LOCALIZAÇÃO: RODOVIA BR 373 E RODOVIA BR 158 - ENTRE O LOTEAMENTO SOL NASCENTE E O TREVO DA RUA ROMÁRIO MARTINS</t>
  </si>
  <si>
    <t>1.</t>
  </si>
  <si>
    <t>1.1.</t>
  </si>
  <si>
    <t>1.1.1.</t>
  </si>
  <si>
    <t>1.2.</t>
  </si>
  <si>
    <t>1.2.1.</t>
  </si>
  <si>
    <t>1.3.</t>
  </si>
  <si>
    <t>1.3.1.</t>
  </si>
  <si>
    <t>1.3.2.</t>
  </si>
  <si>
    <t>1.3.3.</t>
  </si>
  <si>
    <t>1.3.4.</t>
  </si>
  <si>
    <t>1.4.</t>
  </si>
  <si>
    <t>1.4.1.</t>
  </si>
  <si>
    <t>1.4.2.</t>
  </si>
  <si>
    <t>1.4.3.</t>
  </si>
  <si>
    <t>1.4.4.</t>
  </si>
  <si>
    <t>1.4.5.</t>
  </si>
  <si>
    <t>1.4.6.</t>
  </si>
  <si>
    <t>1.4.7.</t>
  </si>
  <si>
    <t>1.4.8.</t>
  </si>
  <si>
    <t>1.4.9.</t>
  </si>
  <si>
    <t>1.4.10.</t>
  </si>
  <si>
    <t>1.4.11.</t>
  </si>
  <si>
    <t>1.4.12.</t>
  </si>
  <si>
    <t>1.5.</t>
  </si>
  <si>
    <t>1.5.1.</t>
  </si>
  <si>
    <t>1.5.2.</t>
  </si>
  <si>
    <t>1.5.3.</t>
  </si>
  <si>
    <t>1.5.4.</t>
  </si>
  <si>
    <t>1.6.</t>
  </si>
  <si>
    <t>1.6.1.</t>
  </si>
  <si>
    <t>1.6.2.</t>
  </si>
  <si>
    <t>1.6.3.</t>
  </si>
  <si>
    <t>1.7.</t>
  </si>
  <si>
    <t>1.7.1.</t>
  </si>
  <si>
    <t>1.7.2.</t>
  </si>
  <si>
    <t>1.7.3.</t>
  </si>
  <si>
    <t>1.8.</t>
  </si>
  <si>
    <t>1.8.1.</t>
  </si>
  <si>
    <t>1.8.2.</t>
  </si>
  <si>
    <t>1.8.3.</t>
  </si>
  <si>
    <t>1.9.</t>
  </si>
  <si>
    <t>1.9.1.</t>
  </si>
  <si>
    <t>1.9.2.</t>
  </si>
  <si>
    <t>1.9.3.</t>
  </si>
  <si>
    <t>1.9.4.</t>
  </si>
  <si>
    <t>1.9.5.</t>
  </si>
  <si>
    <t>1.9.6.</t>
  </si>
  <si>
    <t>1.10.</t>
  </si>
  <si>
    <t>1.10.1.</t>
  </si>
  <si>
    <t>1.10.2.</t>
  </si>
  <si>
    <t>1.10.3.</t>
  </si>
  <si>
    <t>1.10.4.</t>
  </si>
  <si>
    <t>1.10.5.</t>
  </si>
  <si>
    <t>1.10.6.</t>
  </si>
  <si>
    <t>1.10.7.</t>
  </si>
  <si>
    <t>1.10.8.</t>
  </si>
  <si>
    <t>1.11.</t>
  </si>
  <si>
    <t>1.11.1.</t>
  </si>
  <si>
    <t>1.12.</t>
  </si>
  <si>
    <t>1.12.1.</t>
  </si>
  <si>
    <t>1.12.2.</t>
  </si>
  <si>
    <t>1.13.</t>
  </si>
  <si>
    <t>1.13.1.</t>
  </si>
  <si>
    <t>1.13.2.</t>
  </si>
  <si>
    <t>1.14.</t>
  </si>
  <si>
    <t>1.14.1.</t>
  </si>
  <si>
    <t>1.15.</t>
  </si>
  <si>
    <t>1.15.1.</t>
  </si>
  <si>
    <t>1.16.</t>
  </si>
  <si>
    <t>1.16.1.</t>
  </si>
  <si>
    <t>1.17.</t>
  </si>
  <si>
    <t>1.17.1.</t>
  </si>
  <si>
    <t>1.18.</t>
  </si>
  <si>
    <t>1.18.1.</t>
  </si>
  <si>
    <t>1.19.</t>
  </si>
  <si>
    <t>1.19.1.</t>
  </si>
  <si>
    <t>1.19.2.</t>
  </si>
  <si>
    <t>1.19.3.</t>
  </si>
  <si>
    <t>1.19.4.</t>
  </si>
  <si>
    <t>1.19.5.</t>
  </si>
  <si>
    <t>1.19.6.</t>
  </si>
  <si>
    <t>1.19.7.</t>
  </si>
  <si>
    <t>1.19.8.</t>
  </si>
  <si>
    <t>1.19.9.</t>
  </si>
  <si>
    <t>1.19.10.</t>
  </si>
  <si>
    <t>1.19.11.</t>
  </si>
  <si>
    <t>1.19.12.</t>
  </si>
  <si>
    <t>1.19.13.</t>
  </si>
  <si>
    <t>1.20.</t>
  </si>
  <si>
    <t>1.20.1.</t>
  </si>
  <si>
    <t>1.20.2.</t>
  </si>
  <si>
    <t>1.20.3.</t>
  </si>
  <si>
    <t>1.20.4.</t>
  </si>
  <si>
    <t>1.20.5.</t>
  </si>
  <si>
    <t>1.20.6.</t>
  </si>
  <si>
    <t>1.20.7.</t>
  </si>
  <si>
    <t>1.20.8.</t>
  </si>
  <si>
    <t>1.20.9.</t>
  </si>
  <si>
    <t>1.20.10.</t>
  </si>
  <si>
    <t>1.20.11.</t>
  </si>
  <si>
    <t>1.20.12.</t>
  </si>
  <si>
    <t>1.20.13.</t>
  </si>
  <si>
    <t>1.20.14.</t>
  </si>
  <si>
    <t>1.20.15.</t>
  </si>
  <si>
    <t>1.20.16.</t>
  </si>
  <si>
    <t>1.20.17.</t>
  </si>
  <si>
    <t>1.20.18.</t>
  </si>
  <si>
    <t>1.21.</t>
  </si>
  <si>
    <t>1.21.1.</t>
  </si>
  <si>
    <t>1.22.</t>
  </si>
  <si>
    <t>1.22.1.</t>
  </si>
  <si>
    <t>1.23.</t>
  </si>
  <si>
    <t>1.23.1.</t>
  </si>
  <si>
    <t>COMP 05</t>
  </si>
  <si>
    <t>5502114</t>
  </si>
  <si>
    <t>5502120</t>
  </si>
  <si>
    <t>5502834</t>
  </si>
  <si>
    <t>5915319</t>
  </si>
  <si>
    <t>5502586</t>
  </si>
  <si>
    <t>5502589</t>
  </si>
  <si>
    <t>5502590</t>
  </si>
  <si>
    <t>4011209</t>
  </si>
  <si>
    <t>4915669</t>
  </si>
  <si>
    <t>4915667</t>
  </si>
  <si>
    <t>1600441</t>
  </si>
  <si>
    <t>903845</t>
  </si>
  <si>
    <t>4011279</t>
  </si>
  <si>
    <t>4011276</t>
  </si>
  <si>
    <t>4011352</t>
  </si>
  <si>
    <t>4011353</t>
  </si>
  <si>
    <t>4011463</t>
  </si>
  <si>
    <t>COMP 01a</t>
  </si>
  <si>
    <t>COMP 01b</t>
  </si>
  <si>
    <t>COMP 01c</t>
  </si>
  <si>
    <t>4805757</t>
  </si>
  <si>
    <t>4805762</t>
  </si>
  <si>
    <t>4815671</t>
  </si>
  <si>
    <t>804017</t>
  </si>
  <si>
    <t>804025</t>
  </si>
  <si>
    <t>804033</t>
  </si>
  <si>
    <t>804081</t>
  </si>
  <si>
    <t>804379</t>
  </si>
  <si>
    <t>804097</t>
  </si>
  <si>
    <t>804101</t>
  </si>
  <si>
    <t>2003919</t>
  </si>
  <si>
    <t>2003626</t>
  </si>
  <si>
    <t>2003628</t>
  </si>
  <si>
    <t>2003630</t>
  </si>
  <si>
    <t>2003579</t>
  </si>
  <si>
    <t>2003369</t>
  </si>
  <si>
    <t>2003383</t>
  </si>
  <si>
    <t>2003453</t>
  </si>
  <si>
    <t>2003455</t>
  </si>
  <si>
    <t>4413996</t>
  </si>
  <si>
    <t>3713604</t>
  </si>
  <si>
    <t>1600966</t>
  </si>
  <si>
    <t>COMP 06</t>
  </si>
  <si>
    <t>COMP 07</t>
  </si>
  <si>
    <t>5213464</t>
  </si>
  <si>
    <t>5213440</t>
  </si>
  <si>
    <t>5213444</t>
  </si>
  <si>
    <t>5213448</t>
  </si>
  <si>
    <t>5213489</t>
  </si>
  <si>
    <t>5213570</t>
  </si>
  <si>
    <t>5213863</t>
  </si>
  <si>
    <t>5213855</t>
  </si>
  <si>
    <t>5213859</t>
  </si>
  <si>
    <t>5213868</t>
  </si>
  <si>
    <t>5213403</t>
  </si>
  <si>
    <t>5213407</t>
  </si>
  <si>
    <t>5219631</t>
  </si>
  <si>
    <t>100620</t>
  </si>
  <si>
    <t>101659</t>
  </si>
  <si>
    <t>96523</t>
  </si>
  <si>
    <t>95584</t>
  </si>
  <si>
    <t>100896</t>
  </si>
  <si>
    <t>96544</t>
  </si>
  <si>
    <t>96555</t>
  </si>
  <si>
    <t>97886</t>
  </si>
  <si>
    <t>97667</t>
  </si>
  <si>
    <t>96986</t>
  </si>
  <si>
    <t>101497</t>
  </si>
  <si>
    <t>41198</t>
  </si>
  <si>
    <t>91933</t>
  </si>
  <si>
    <t>91927</t>
  </si>
  <si>
    <t>101632</t>
  </si>
  <si>
    <t>90091</t>
  </si>
  <si>
    <t>93368</t>
  </si>
  <si>
    <t>102718</t>
  </si>
  <si>
    <t>COMP 04a</t>
  </si>
  <si>
    <t>COMP 04b</t>
  </si>
  <si>
    <t>VIAS MARGINAIS A BR-158 E BR-373 - 2ª ETAPA</t>
  </si>
  <si>
    <t>ADMINISTRAÇÃO LOCAL</t>
  </si>
  <si>
    <t>SERVIÇOS INICIAIS</t>
  </si>
  <si>
    <t xml:space="preserve">LIMPEZA DA ÁREA </t>
  </si>
  <si>
    <t>Escavação, carga e transporte de material de 1ª categoria - DMT de 1.000 a 1.200 m - caminho de serviço em leito natural - com escavadeira e caminhão basculante de 14 m³</t>
  </si>
  <si>
    <t>Escavação, carga e transporte de material de 1ª categoria - DMT de 2.500 a 3.000 m - caminho de serviço em leito natural - com escavadeira e caminhão basculante de 14 m³</t>
  </si>
  <si>
    <t>Escavação, carga e transporte de material de 1ª categoria na distância de 3.000 m - caminho de serviço em leito natural - com escavadeira e caminhão basculante de 14 m³</t>
  </si>
  <si>
    <t>Escavação, carga e transporte de material de 2ª categoria - DMT de 1.000 a 1.200 m - caminho de serviço em leito natural - com escavadeira e caminhão basculante de 14 m³</t>
  </si>
  <si>
    <t>REMOÇÕES, REGULARIZAÇÃO E COMPACTAÇÃO</t>
  </si>
  <si>
    <t>Remoção de paralelepípedos</t>
  </si>
  <si>
    <t>SUB-BASE E BASE</t>
  </si>
  <si>
    <t>BOCAS DE LOBO E SAIDAS</t>
  </si>
  <si>
    <t>Boca de BSTC D = 0,60 m - esconsidade 0° - areia e brita comerciais - alas retas</t>
  </si>
  <si>
    <t>Boca de BSTC D = 0,60 m - esconsidade 15° - areia e brita comerciais - alas esconsas</t>
  </si>
  <si>
    <t>Boca de BSTC D = 0,60 m - esconsidade 40° - areia e brita comerciais - alas retas</t>
  </si>
  <si>
    <t>Boca de saída para dreno longitudinal profundo - BSD 01 - tubo de PEAD - areia e brita comerciais</t>
  </si>
  <si>
    <t>Boca de lobo simples - grelha de concreto - BLSG 01 - areia e brita comerciais</t>
  </si>
  <si>
    <t>DRENOS</t>
  </si>
  <si>
    <t>MEIO FIO E SARJETAS</t>
  </si>
  <si>
    <t>DISSIPADORES DE ENERGIA</t>
  </si>
  <si>
    <t>Dissipador de energia - DEB 03 - areia, brita e pedra de mão comerciais (BSTC Ø 60)</t>
  </si>
  <si>
    <t>SERVIÇOS COMPLEMENTARES - GRAMA</t>
  </si>
  <si>
    <t>SERVIÇOS COMPLEMENTARES - DEFENSAS</t>
  </si>
  <si>
    <t>SERVIÇOS COMPLEMENTARES - REMOÇÕES</t>
  </si>
  <si>
    <t>SERVIÇOS COMPLEMENTARES - ELÉTRICA</t>
  </si>
  <si>
    <t>SERVIÇOS COMPLEMENTARES - PASSEIOS</t>
  </si>
  <si>
    <t>Placa de advertência em aço, lado de 0,60 m - película retrorrefletiva tipo I + SI - fornecimento e implantação</t>
  </si>
  <si>
    <t>Placa de regulamentação em aço D = 0,60 m - película retrorrefletiva tipo I + SI - fornecimento e implantação</t>
  </si>
  <si>
    <t>Placa em aço - película I + I - fornecimento e implantação</t>
  </si>
  <si>
    <t>POSTE DE AÇO CONICO CONTÍNUO CURVO SIMPLES, FLANGEADO, H=9M, INCLUSIVE LUMINÁRIA, SEM LÂMPADA - FORNECIMENTO E INSTALACAO. AF_11/2019</t>
  </si>
  <si>
    <t>LUMINÁRIA DE LED PARA ILUMINAÇÃO PÚBLICA, DE 181 W ATÉ 239 W - FORNECIMENTO E INSTALAÇÃO. AF_08/2020</t>
  </si>
  <si>
    <t>ESCAVAÇÃO MANUAL PARA BLOCO DE COROAMENTO OU SAPATA (INCLUINDO ESCAVAÇÃO PARA COLOCAÇÃO DE FÔRMAS). AF_01/2024</t>
  </si>
  <si>
    <t>MONTAGEM DE ARMADURA TRANSVERSAL DE ESTACAS DE SEÇÃO CIRCULAR, DIÂMETRO = 6,30 MM. AF_09/2021_PS</t>
  </si>
  <si>
    <t>ESTACA ESCAVADA MECANICAMENTE, SEM FLUIDO ESTABILIZANTE, COM 25CM DE DIÂMETRO, CONCRETO LANÇADO POR CAMINHÃO BETONEIRA (EXCLUSIVE MOBILIZAÇÃO E DESMOBILIZAÇÃO). AF_01/2020_PA</t>
  </si>
  <si>
    <t>ARMAÇÃO DE BLOCO UTILIZANDO AÇO CA-50 DE 6,3 MM - MONTAGEM. AF_01/2024</t>
  </si>
  <si>
    <t>CONCRETAGEM DE BLOCO DE COROAMENTO OU VIGA BALDRAME, FCK 30 MPA, COM USO DE JERICA - LANÇAMENTO, ADENSAMENTO E ACABAMENTO. AF_01/2024</t>
  </si>
  <si>
    <t>CAIXA ENTERRADA ELÉTRICA RETANGULAR, EM ALVENARIA COM TIJOLOS CERÂMICOS MACIÇOS, FUNDO COM BRITA, DIMENSÕES INTERNAS: 0,3X0,3X0,3 M. AF_12/2020</t>
  </si>
  <si>
    <t>ELETRODUTO FLEXÍVEL CORRUGADO, PEAD, DN 50 (1 1/2"), PARA REDE ENTERRADA DE DISTRIBUIÇÃO DE ENERGIA ELÉTRICA - FORNECIMENTO E INSTALAÇÃO. AF_12/2021</t>
  </si>
  <si>
    <t>HASTE DE ATERRAMENTO, DIÂMETRO 3/4", COM 3 METROS - FORNECIMENTO E INSTALAÇÃO. AF_08/2023</t>
  </si>
  <si>
    <t>ENTRADA DE ENERGIA ELÉTRICA, AÉREA, BIFÁSICA, COM CAIXA DE SOBREPOR, CABO DE 10 MM2 E DISJUNTOR DIN 50A (NÃO INCLUSO O POSTE DE CONCRETO). AF_07/2020_PS</t>
  </si>
  <si>
    <t xml:space="preserve">POSTE DE CONCRETO ARMADO DE SECAO DUPLO T, EXTENSAO DE 9,00 M, RESISTENCIA DE 1000 DAN, TIPO B-1,5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</si>
  <si>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CABO DE COBRE FLEXÍVEL ISOLADO, 10 MM², ANTI-CHAMA 0,6/1,0 KV, PARA CIRCUITOS TERMINAIS - FORNECIMENTO E INSTALAÇÃO. AF_03/2023</t>
  </si>
  <si>
    <t>CABO DE COBRE FLEXÍVEL ISOLADO, 2,5 MM², ANTI-CHAMA 0,6/1,0 KV, PARA CIRCUITOS TERMINAIS - FORNECIMENTO E INSTALAÇÃO. AF_03/2023</t>
  </si>
  <si>
    <t>RELÉ FOTOELÉTRICO PARA COMANDO DE ILUMINAÇÃO EXTERNA 1000 W - FORNECIMENTO E INSTALAÇÃO. AF_08/2020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</si>
  <si>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</si>
  <si>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REATERRO MECANIZADO DE VALA COM ESCAVADEIRA HIDRÁULICA (CAPACIDADE DA CAÇAMBA: 0,8 M³/POTÊNCIA: 111 HP), LARGURA ATÉ 1,5 M, PROFUNDIDADE DE 1,5 A 3,0 M, COM SOLO (SEM SUBSTITUIÇÃO) DE 1ª CATEGORIA, COM COMPACTADOR DE SOLOS DE PERCUSSÃO. AF_08/2023</t>
  </si>
  <si>
    <t>ENCHIMENTO DE AREIA PARA DRENO, LANÇAMENTO MANUAL. AF_07/2021</t>
  </si>
  <si>
    <t xml:space="preserve">CANTEIRO DE OBRAS </t>
  </si>
  <si>
    <t>MOBILIZAÇÃO DE EQUIPAMENTOS</t>
  </si>
  <si>
    <t>DESMOBILIZAÇÃO DE EQUIPAMENTOS</t>
  </si>
  <si>
    <t>M2</t>
  </si>
  <si>
    <t>UD</t>
  </si>
  <si>
    <t>UN</t>
  </si>
  <si>
    <t>M3</t>
  </si>
  <si>
    <t>KG</t>
  </si>
  <si>
    <t>M</t>
  </si>
  <si>
    <t xml:space="preserve">UN    </t>
  </si>
  <si>
    <t xml:space="preserve">VALOR DESCONTO </t>
  </si>
  <si>
    <t>PROPOSTO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</si>
  <si>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</si>
  <si>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</si>
  <si>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</si>
  <si>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</si>
  <si>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</si>
  <si>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</si>
  <si>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</si>
  <si>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</si>
  <si>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</si>
  <si>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</si>
  <si>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</si>
  <si>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</si>
  <si>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</si>
  <si>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</si>
  <si>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</si>
  <si>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</si>
  <si>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</si>
  <si>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</si>
  <si>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</si>
  <si>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</si>
  <si>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</si>
  <si>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</si>
  <si>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</si>
  <si>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Itens</t>
  </si>
  <si>
    <t>Siglas</t>
  </si>
  <si>
    <t>% Adotado</t>
  </si>
  <si>
    <t>Tributos (impostos COFINS 3%, e  PIS 0,65%)</t>
  </si>
  <si>
    <t>CP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</si>
  <si>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</si>
  <si>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</si>
  <si>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</si>
  <si>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</si>
  <si>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</si>
  <si>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</si>
  <si>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Administração Central</t>
  </si>
  <si>
    <t>Seguro e Garantia</t>
  </si>
  <si>
    <t>Risco</t>
  </si>
  <si>
    <t>Despesas Financeiras</t>
  </si>
  <si>
    <t>Lucro</t>
  </si>
  <si>
    <t xml:space="preserve">         QUADRO DE COMPOSIÇÃO DO BDI 01 </t>
  </si>
  <si>
    <t>XX/XX/2024</t>
  </si>
  <si>
    <t xml:space="preserve">         QUADRO DE COMPOSIÇÃO DO BDI 02</t>
  </si>
  <si>
    <t>CORONEL VIVIDA, XX DE XXXXXXXXXXX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</si>
</sst>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%"/>
  </numFmts>
  <fonts count="3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b/>
      <sz val="15"/>
      <name val="Arial"/>
      <family val="2"/>
    </font>
    <font>
      <sz val="8"/>
      <name val="Calibri"/>
      <family val="2"/>
      <scheme val="minor"/>
    </font>
    <font>
      <b/>
      <sz val="10"/>
      <color theme="3" tint="-0.249977111117893"/>
      <name val="Arial"/>
      <family val="2"/>
    </font>
    <font>
      <b/>
      <sz val="11"/>
      <color theme="3" tint="-0.249977111117893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5"/>
      <color indexed="8"/>
      <name val="Calibri"/>
      <family val="2"/>
    </font>
    <font>
      <sz val="10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26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7" fillId="0" borderId="0"/>
  </cellStyleXfs>
  <cellXfs count="18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8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14" fillId="0" borderId="15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5" fillId="0" borderId="24" xfId="0" applyFont="1" applyBorder="1" applyAlignment="1">
      <alignment horizontal="center"/>
    </xf>
    <xf numFmtId="0" fontId="16" fillId="0" borderId="23" xfId="0" applyFont="1" applyBorder="1"/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6" fillId="0" borderId="10" xfId="0" applyFont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3" xfId="0" applyNumberFormat="1" applyFont="1" applyFill="1" applyBorder="1" applyProtection="1">
      <protection locked="0"/>
    </xf>
    <xf numFmtId="4" fontId="1" fillId="4" borderId="22" xfId="0" applyNumberFormat="1" applyFont="1" applyFill="1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2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1" fillId="0" borderId="0" xfId="1" applyNumberFormat="1" applyFont="1" applyBorder="1" applyAlignment="1" applyProtection="1">
      <alignment vertical="center"/>
    </xf>
    <xf numFmtId="4" fontId="21" fillId="0" borderId="0" xfId="0" applyNumberFormat="1" applyFont="1" applyAlignment="1">
      <alignment horizontal="right" vertical="center"/>
    </xf>
    <xf numFmtId="0" fontId="2" fillId="0" borderId="2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top"/>
    </xf>
    <xf numFmtId="4" fontId="1" fillId="0" borderId="25" xfId="0" applyNumberFormat="1" applyFont="1" applyBorder="1"/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right" vertical="center"/>
    </xf>
    <xf numFmtId="0" fontId="2" fillId="5" borderId="36" xfId="0" applyFont="1" applyFill="1" applyBorder="1" applyAlignment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23" fillId="0" borderId="0" xfId="0" applyFont="1" applyAlignment="1">
      <alignment horizontal="center" vertical="center"/>
    </xf>
    <xf numFmtId="0" fontId="2" fillId="8" borderId="2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justify" vertical="top" wrapText="1"/>
    </xf>
    <xf numFmtId="4" fontId="2" fillId="8" borderId="2" xfId="0" applyNumberFormat="1" applyFont="1" applyFill="1" applyBorder="1"/>
    <xf numFmtId="164" fontId="2" fillId="8" borderId="2" xfId="2" applyFont="1" applyFill="1" applyBorder="1" applyAlignment="1" applyProtection="1"/>
    <xf numFmtId="0" fontId="1" fillId="8" borderId="2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justify" vertical="top" wrapText="1"/>
    </xf>
    <xf numFmtId="4" fontId="1" fillId="8" borderId="2" xfId="0" applyNumberFormat="1" applyFont="1" applyFill="1" applyBorder="1"/>
    <xf numFmtId="164" fontId="1" fillId="8" borderId="2" xfId="2" applyFont="1" applyFill="1" applyBorder="1" applyAlignment="1" applyProtection="1"/>
    <xf numFmtId="0" fontId="4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/>
    </xf>
    <xf numFmtId="4" fontId="1" fillId="0" borderId="4" xfId="0" applyNumberFormat="1" applyFont="1" applyBorder="1"/>
    <xf numFmtId="10" fontId="2" fillId="0" borderId="19" xfId="1" applyNumberFormat="1" applyFont="1" applyBorder="1" applyAlignment="1" applyProtection="1">
      <alignment vertical="center"/>
    </xf>
    <xf numFmtId="10" fontId="2" fillId="0" borderId="30" xfId="1" applyNumberFormat="1" applyFont="1" applyBorder="1" applyAlignment="1" applyProtection="1">
      <alignment vertical="center"/>
    </xf>
    <xf numFmtId="164" fontId="0" fillId="0" borderId="0" xfId="2" applyFont="1" applyAlignment="1">
      <alignment horizont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30" xfId="0" applyNumberFormat="1" applyFont="1" applyBorder="1" applyAlignment="1">
      <alignment horizontal="right" vertical="center"/>
    </xf>
    <xf numFmtId="4" fontId="2" fillId="0" borderId="36" xfId="0" applyNumberFormat="1" applyFont="1" applyBorder="1" applyAlignment="1">
      <alignment horizontal="right" vertical="center"/>
    </xf>
    <xf numFmtId="4" fontId="2" fillId="0" borderId="37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4" fontId="2" fillId="0" borderId="39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38" xfId="0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15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5" fillId="6" borderId="0" xfId="0" applyFont="1" applyFill="1" applyAlignment="1" applyProtection="1">
      <alignment horizontal="left" vertical="top"/>
      <protection locked="0"/>
    </xf>
    <xf numFmtId="4" fontId="25" fillId="0" borderId="1" xfId="0" applyNumberFormat="1" applyFont="1" applyBorder="1" applyAlignment="1">
      <alignment horizontal="center"/>
    </xf>
    <xf numFmtId="4" fontId="26" fillId="0" borderId="0" xfId="0" applyNumberFormat="1" applyFont="1" applyAlignment="1">
      <alignment horizontal="center"/>
    </xf>
    <xf numFmtId="0" fontId="28" fillId="0" borderId="40" xfId="3" applyFont="1" applyBorder="1" applyAlignment="1">
      <alignment horizontal="center" vertical="center"/>
    </xf>
    <xf numFmtId="0" fontId="0" fillId="0" borderId="40" xfId="3" applyFont="1" applyBorder="1" applyAlignment="1">
      <alignment horizontal="center" vertical="center" wrapText="1"/>
    </xf>
    <xf numFmtId="0" fontId="30" fillId="0" borderId="40" xfId="3" applyFont="1" applyBorder="1" applyAlignment="1">
      <alignment horizontal="center" vertical="center"/>
    </xf>
    <xf numFmtId="0" fontId="30" fillId="0" borderId="40" xfId="3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2" fillId="0" borderId="0" xfId="0" applyFont="1" applyFill="1"/>
    <xf numFmtId="14" fontId="18" fillId="0" borderId="0" xfId="0" applyNumberFormat="1" applyFont="1" applyFill="1" applyAlignment="1" applyProtection="1">
      <alignment horizontal="left" vertical="center" wrapText="1"/>
      <protection locked="0"/>
    </xf>
    <xf numFmtId="0" fontId="28" fillId="0" borderId="41" xfId="3" applyFont="1" applyBorder="1" applyAlignment="1">
      <alignment horizontal="center" vertical="center"/>
    </xf>
    <xf numFmtId="0" fontId="28" fillId="0" borderId="42" xfId="3" applyFont="1" applyBorder="1" applyAlignment="1">
      <alignment horizontal="center" vertical="center"/>
    </xf>
    <xf numFmtId="4" fontId="28" fillId="0" borderId="43" xfId="3" applyNumberFormat="1" applyFont="1" applyBorder="1" applyAlignment="1">
      <alignment horizontal="center" vertical="center" wrapText="1"/>
    </xf>
    <xf numFmtId="0" fontId="28" fillId="0" borderId="44" xfId="3" applyFont="1" applyBorder="1" applyAlignment="1">
      <alignment horizontal="center" vertical="center"/>
    </xf>
    <xf numFmtId="4" fontId="28" fillId="0" borderId="45" xfId="3" applyNumberFormat="1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10" fontId="29" fillId="9" borderId="45" xfId="3" applyNumberFormat="1" applyFont="1" applyFill="1" applyBorder="1" applyAlignment="1" applyProtection="1">
      <alignment horizontal="center" vertical="center"/>
      <protection locked="0"/>
    </xf>
    <xf numFmtId="10" fontId="29" fillId="0" borderId="45" xfId="3" applyNumberFormat="1" applyFont="1" applyBorder="1" applyAlignment="1">
      <alignment horizontal="center" vertical="center"/>
    </xf>
    <xf numFmtId="0" fontId="16" fillId="0" borderId="46" xfId="0" applyFont="1" applyBorder="1"/>
    <xf numFmtId="10" fontId="16" fillId="0" borderId="30" xfId="1" applyNumberFormat="1" applyFont="1" applyFill="1" applyBorder="1"/>
    <xf numFmtId="0" fontId="15" fillId="0" borderId="33" xfId="0" applyFont="1" applyBorder="1"/>
    <xf numFmtId="0" fontId="15" fillId="0" borderId="0" xfId="0" applyFont="1" applyBorder="1"/>
    <xf numFmtId="0" fontId="15" fillId="0" borderId="47" xfId="0" applyFont="1" applyBorder="1"/>
    <xf numFmtId="0" fontId="17" fillId="0" borderId="3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17" fillId="0" borderId="3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47" xfId="0" applyFont="1" applyBorder="1" applyAlignment="1">
      <alignment vertical="center" wrapText="1"/>
    </xf>
    <xf numFmtId="0" fontId="18" fillId="0" borderId="33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10" fontId="18" fillId="7" borderId="47" xfId="0" applyNumberFormat="1" applyFont="1" applyFill="1" applyBorder="1" applyAlignment="1" applyProtection="1">
      <alignment horizontal="left" vertical="center" wrapText="1"/>
      <protection locked="0"/>
    </xf>
    <xf numFmtId="10" fontId="18" fillId="7" borderId="0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33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 wrapText="1"/>
    </xf>
    <xf numFmtId="10" fontId="18" fillId="0" borderId="0" xfId="0" applyNumberFormat="1" applyFont="1" applyBorder="1" applyAlignment="1">
      <alignment horizontal="left" vertical="center" wrapText="1"/>
    </xf>
    <xf numFmtId="0" fontId="18" fillId="7" borderId="33" xfId="0" applyFont="1" applyFill="1" applyBorder="1" applyAlignment="1" applyProtection="1">
      <alignment horizontal="left" vertical="center" wrapText="1"/>
      <protection locked="0"/>
    </xf>
    <xf numFmtId="0" fontId="15" fillId="7" borderId="0" xfId="0" applyFont="1" applyFill="1" applyBorder="1" applyAlignment="1" applyProtection="1">
      <alignment horizontal="left" vertical="center" wrapText="1"/>
      <protection locked="0"/>
    </xf>
    <xf numFmtId="0" fontId="15" fillId="7" borderId="47" xfId="0" applyFont="1" applyFill="1" applyBorder="1" applyAlignment="1" applyProtection="1">
      <alignment horizontal="left" vertical="center" wrapText="1"/>
      <protection locked="0"/>
    </xf>
    <xf numFmtId="14" fontId="18" fillId="0" borderId="33" xfId="0" applyNumberFormat="1" applyFont="1" applyFill="1" applyBorder="1" applyAlignment="1" applyProtection="1">
      <alignment horizontal="left" vertical="center" wrapText="1"/>
      <protection locked="0"/>
    </xf>
    <xf numFmtId="14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4" fontId="18" fillId="0" borderId="47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>
      <alignment horizontal="right"/>
    </xf>
    <xf numFmtId="14" fontId="18" fillId="7" borderId="47" xfId="0" applyNumberFormat="1" applyFont="1" applyFill="1" applyBorder="1" applyAlignment="1" applyProtection="1">
      <alignment horizontal="left" vertical="center" wrapText="1"/>
      <protection locked="0"/>
    </xf>
    <xf numFmtId="14" fontId="18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18" fillId="0" borderId="48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48" xfId="0" applyFont="1" applyBorder="1"/>
    <xf numFmtId="0" fontId="15" fillId="0" borderId="49" xfId="0" applyFont="1" applyBorder="1"/>
    <xf numFmtId="0" fontId="31" fillId="0" borderId="12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7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7" xfId="0" applyFont="1" applyBorder="1" applyAlignment="1">
      <alignment horizontal="center"/>
    </xf>
  </cellXfs>
  <cellStyles count="4">
    <cellStyle name="Normal" xfId="0" builtinId="0"/>
    <cellStyle name="Normal 2" xfId="3" xr:uid="{45AFDAD0-658B-475C-840B-7BEB5FCEA0BD}"/>
    <cellStyle name="Porcentagem" xfId="1" builtinId="5"/>
    <cellStyle name="Vírgula" xfId="2" builtinId="3"/>
  </cellStyles>
  <dxfs count="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lor auto="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800100</xdr:colOff>
      <xdr:row>66</xdr:row>
      <xdr:rowOff>15654</xdr:rowOff>
    </xdr:from>
    <xdr:to>
      <xdr:col>18</xdr:col>
      <xdr:colOff>447675</xdr:colOff>
      <xdr:row>81</xdr:row>
      <xdr:rowOff>111281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D6D5793-A033-0F7D-BE9C-F8455A4C30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53800" y="12779154"/>
          <a:ext cx="5848350" cy="2953127"/>
        </a:xfrm>
        <a:prstGeom prst="rect">
          <a:avLst/>
        </a:prstGeom>
      </xdr:spPr>
    </xdr:pic>
    <xdr:clientData/>
  </xdr:twoCellAnchor>
  <xdr:twoCellAnchor editAs="oneCell">
    <xdr:from>
      <xdr:col>0</xdr:col>
      <xdr:colOff>1009650</xdr:colOff>
      <xdr:row>48</xdr:row>
      <xdr:rowOff>114300</xdr:rowOff>
    </xdr:from>
    <xdr:to>
      <xdr:col>2</xdr:col>
      <xdr:colOff>190059</xdr:colOff>
      <xdr:row>58</xdr:row>
      <xdr:rowOff>133110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52408F2-B5B7-2DCC-3023-B6D73A5D3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9650" y="10477500"/>
          <a:ext cx="3523809" cy="1923810"/>
        </a:xfrm>
        <a:prstGeom prst="rect">
          <a:avLst/>
        </a:prstGeom>
      </xdr:spPr>
    </xdr:pic>
    <xdr:clientData/>
  </xdr:twoCellAnchor>
  <xdr:twoCellAnchor editAs="oneCell">
    <xdr:from>
      <xdr:col>5</xdr:col>
      <xdr:colOff>1457325</xdr:colOff>
      <xdr:row>47</xdr:row>
      <xdr:rowOff>180975</xdr:rowOff>
    </xdr:from>
    <xdr:to>
      <xdr:col>8</xdr:col>
      <xdr:colOff>37674</xdr:colOff>
      <xdr:row>58</xdr:row>
      <xdr:rowOff>18808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2D0FCB7B-3258-6C8B-50AF-C380AE413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29475" y="9601200"/>
          <a:ext cx="3409524" cy="19333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Departamento%20de%20Engenharia%20-%20ENGENHARIA\%23%20PAVIMENTA&#199;&#195;O\ASFALTO\2024%20-%20PAV%20ASF&#193;LTICA\13%20-%20MARGINAL%202&#186;%20ETAPA\Or&#231;amento\OR&#199;%20MARGINAL%20BR158_373%202&#170;%20ETAPA.xlsm" TargetMode="External"/><Relationship Id="rId1" Type="http://schemas.openxmlformats.org/officeDocument/2006/relationships/externalLinkPath" Target="OR&#199;%20MARGINAL%20BR158_373%202&#170;%20ETAP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18">
          <cell r="F18" t="str">
            <v>NÃO 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4"/>
  <sheetViews>
    <sheetView tabSelected="1" workbookViewId="0">
      <selection activeCell="K10" sqref="K10"/>
    </sheetView>
  </sheetViews>
  <sheetFormatPr defaultRowHeight="15" x14ac:dyDescent="0.25"/>
  <cols>
    <col min="1" max="1" width="7.5703125" bestFit="1" customWidth="1"/>
    <col min="2" max="2" width="8.140625" bestFit="1" customWidth="1"/>
    <col min="3" max="3" width="80.85546875" bestFit="1" customWidth="1"/>
    <col min="4" max="4" width="4.85546875" bestFit="1" customWidth="1"/>
    <col min="5" max="5" width="8.7109375" bestFit="1" customWidth="1"/>
    <col min="6" max="6" width="10" bestFit="1" customWidth="1"/>
    <col min="7" max="7" width="12.7109375" bestFit="1" customWidth="1"/>
    <col min="8" max="8" width="12.5703125" bestFit="1" customWidth="1"/>
    <col min="9" max="9" width="39.7109375" bestFit="1" customWidth="1"/>
    <col min="10" max="10" width="14.5703125" bestFit="1" customWidth="1"/>
    <col min="11" max="11" width="16.5703125" customWidth="1"/>
    <col min="12" max="12" width="12.28515625" bestFit="1" customWidth="1"/>
    <col min="13" max="13" width="19.140625" bestFit="1" customWidth="1"/>
    <col min="14" max="14" width="12.5703125" hidden="1" customWidth="1"/>
  </cols>
  <sheetData>
    <row r="1" spans="1:14" x14ac:dyDescent="0.25">
      <c r="A1" s="22"/>
      <c r="B1" s="22"/>
      <c r="C1" s="22"/>
      <c r="D1" s="22"/>
      <c r="E1" s="22"/>
      <c r="F1" s="22"/>
      <c r="G1" s="22"/>
      <c r="K1" s="84" t="s">
        <v>21</v>
      </c>
    </row>
    <row r="2" spans="1:14" x14ac:dyDescent="0.25">
      <c r="A2" s="22"/>
      <c r="B2" s="22"/>
      <c r="C2" s="22"/>
      <c r="D2" s="22"/>
      <c r="E2" s="22"/>
      <c r="F2" s="22"/>
      <c r="G2" s="22"/>
      <c r="I2" s="87" t="s">
        <v>8</v>
      </c>
      <c r="K2" s="85"/>
    </row>
    <row r="3" spans="1:14" x14ac:dyDescent="0.25">
      <c r="A3" s="22"/>
      <c r="B3" s="22"/>
      <c r="C3" s="23"/>
      <c r="D3" s="22"/>
      <c r="E3" s="22"/>
      <c r="F3" s="22"/>
      <c r="G3" s="22"/>
      <c r="I3" s="88"/>
      <c r="K3" s="85"/>
    </row>
    <row r="4" spans="1:14" x14ac:dyDescent="0.25">
      <c r="A4" s="22"/>
      <c r="B4" s="22"/>
      <c r="C4" s="23"/>
      <c r="D4" s="22"/>
      <c r="E4" s="22"/>
      <c r="F4" s="22"/>
      <c r="G4" s="22"/>
      <c r="I4" s="88"/>
      <c r="K4" s="85"/>
    </row>
    <row r="5" spans="1:14" x14ac:dyDescent="0.25">
      <c r="A5" s="22"/>
      <c r="B5" s="22"/>
      <c r="C5" s="22"/>
      <c r="D5" s="22"/>
      <c r="E5" s="22"/>
      <c r="F5" s="22"/>
      <c r="G5" s="22"/>
      <c r="I5" s="88"/>
      <c r="K5" s="85"/>
    </row>
    <row r="6" spans="1:14" x14ac:dyDescent="0.25">
      <c r="A6" s="22"/>
      <c r="B6" s="22"/>
      <c r="C6" s="22"/>
      <c r="D6" s="22"/>
      <c r="E6" s="22"/>
      <c r="F6" s="22"/>
      <c r="G6" s="22"/>
      <c r="I6" s="89"/>
      <c r="K6" s="85"/>
    </row>
    <row r="7" spans="1:14" x14ac:dyDescent="0.25">
      <c r="A7" s="82" t="s">
        <v>129</v>
      </c>
      <c r="B7" s="82"/>
      <c r="C7" s="82"/>
      <c r="D7" s="82"/>
      <c r="E7" s="82"/>
      <c r="F7" s="82"/>
      <c r="G7" s="82"/>
      <c r="K7" s="85"/>
      <c r="M7" s="127" t="s">
        <v>379</v>
      </c>
    </row>
    <row r="8" spans="1:14" x14ac:dyDescent="0.25">
      <c r="A8" s="90" t="s">
        <v>130</v>
      </c>
      <c r="B8" s="90"/>
      <c r="C8" s="90"/>
      <c r="D8" s="90"/>
      <c r="E8" s="90"/>
      <c r="F8" s="90"/>
      <c r="G8" s="90"/>
      <c r="K8" s="85"/>
      <c r="L8" s="6" t="s">
        <v>9</v>
      </c>
      <c r="M8" s="127" t="s">
        <v>380</v>
      </c>
    </row>
    <row r="9" spans="1:14" x14ac:dyDescent="0.25">
      <c r="A9" s="91"/>
      <c r="B9" s="92"/>
      <c r="C9" s="92"/>
      <c r="D9" s="92"/>
      <c r="E9" s="92"/>
      <c r="F9" s="92"/>
      <c r="G9" s="93"/>
      <c r="K9" s="86"/>
      <c r="L9" s="6" t="s">
        <v>3</v>
      </c>
      <c r="M9" s="128">
        <f>N10-M10</f>
        <v>0</v>
      </c>
    </row>
    <row r="10" spans="1:14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G125</f>
        <v>9438309.2299999949</v>
      </c>
      <c r="N10" s="1">
        <v>9438309.2300000004</v>
      </c>
    </row>
    <row r="11" spans="1:14" s="1" customFormat="1" x14ac:dyDescent="0.25">
      <c r="A11" s="67" t="s">
        <v>131</v>
      </c>
      <c r="B11" s="67"/>
      <c r="C11" s="68" t="s">
        <v>322</v>
      </c>
      <c r="D11" s="71"/>
      <c r="E11" s="73"/>
      <c r="F11" s="74"/>
      <c r="G11" s="74"/>
      <c r="H11" s="63"/>
      <c r="I11" s="62">
        <f t="shared" ref="I11:I123" si="0">ROUND(L11-(L11*$K$10),2)</f>
        <v>0</v>
      </c>
      <c r="L11" s="6">
        <v>0</v>
      </c>
    </row>
    <row r="12" spans="1:14" s="1" customFormat="1" x14ac:dyDescent="0.25">
      <c r="A12" s="67" t="s">
        <v>132</v>
      </c>
      <c r="B12" s="67"/>
      <c r="C12" s="68" t="s">
        <v>323</v>
      </c>
      <c r="D12" s="67"/>
      <c r="E12" s="69"/>
      <c r="F12" s="70"/>
      <c r="G12" s="70">
        <f t="shared" ref="G12:G75" si="1">IF(I12=L12,N12,ROUND(F12*E12,2))</f>
        <v>692995.44</v>
      </c>
      <c r="H12" s="75"/>
      <c r="I12" s="62">
        <f t="shared" si="0"/>
        <v>0</v>
      </c>
      <c r="L12" s="6">
        <v>0</v>
      </c>
      <c r="N12" s="80">
        <v>692995.44</v>
      </c>
    </row>
    <row r="13" spans="1:14" s="1" customFormat="1" x14ac:dyDescent="0.25">
      <c r="A13" s="71" t="s">
        <v>133</v>
      </c>
      <c r="B13" s="71" t="s">
        <v>54</v>
      </c>
      <c r="C13" s="72" t="s">
        <v>112</v>
      </c>
      <c r="D13" s="71" t="s">
        <v>115</v>
      </c>
      <c r="E13" s="73">
        <v>12</v>
      </c>
      <c r="F13" s="74">
        <f t="shared" ref="F13:F74" si="2">ROUND(I13,2)</f>
        <v>57749.62</v>
      </c>
      <c r="G13" s="74">
        <f t="shared" si="1"/>
        <v>692995.44</v>
      </c>
      <c r="H13" s="75"/>
      <c r="I13" s="62">
        <f t="shared" si="0"/>
        <v>57749.62</v>
      </c>
      <c r="L13" s="6">
        <v>57749.62</v>
      </c>
      <c r="N13" s="80">
        <v>692995.44</v>
      </c>
    </row>
    <row r="14" spans="1:14" s="1" customFormat="1" x14ac:dyDescent="0.25">
      <c r="A14" s="67" t="s">
        <v>134</v>
      </c>
      <c r="B14" s="67"/>
      <c r="C14" s="68" t="s">
        <v>324</v>
      </c>
      <c r="D14" s="67"/>
      <c r="E14" s="69"/>
      <c r="F14" s="70"/>
      <c r="G14" s="70">
        <f t="shared" si="1"/>
        <v>2559.1999999999998</v>
      </c>
      <c r="H14" s="75"/>
      <c r="I14" s="62">
        <f t="shared" si="0"/>
        <v>0</v>
      </c>
      <c r="L14" s="6">
        <v>0</v>
      </c>
      <c r="N14" s="80">
        <v>2559.1999999999998</v>
      </c>
    </row>
    <row r="15" spans="1:14" s="1" customFormat="1" x14ac:dyDescent="0.25">
      <c r="A15" s="71" t="s">
        <v>135</v>
      </c>
      <c r="B15" s="71" t="s">
        <v>244</v>
      </c>
      <c r="C15" s="72" t="s">
        <v>113</v>
      </c>
      <c r="D15" s="71" t="s">
        <v>120</v>
      </c>
      <c r="E15" s="73">
        <v>1</v>
      </c>
      <c r="F15" s="74">
        <f t="shared" si="2"/>
        <v>2559.1999999999998</v>
      </c>
      <c r="G15" s="74">
        <f t="shared" si="1"/>
        <v>2559.1999999999998</v>
      </c>
      <c r="H15" s="75"/>
      <c r="I15" s="62">
        <f t="shared" si="0"/>
        <v>2559.1999999999998</v>
      </c>
      <c r="L15" s="6">
        <v>2559.1999999999998</v>
      </c>
      <c r="N15" s="80">
        <v>2559.1999999999998</v>
      </c>
    </row>
    <row r="16" spans="1:14" s="1" customFormat="1" x14ac:dyDescent="0.25">
      <c r="A16" s="67" t="s">
        <v>136</v>
      </c>
      <c r="B16" s="67"/>
      <c r="C16" s="68" t="s">
        <v>325</v>
      </c>
      <c r="D16" s="67"/>
      <c r="E16" s="69"/>
      <c r="F16" s="70"/>
      <c r="G16" s="70">
        <f t="shared" si="1"/>
        <v>47821.04</v>
      </c>
      <c r="H16" s="75"/>
      <c r="I16" s="62">
        <f t="shared" si="0"/>
        <v>0</v>
      </c>
      <c r="L16" s="6">
        <v>0</v>
      </c>
      <c r="N16" s="80">
        <v>47821.04</v>
      </c>
    </row>
    <row r="17" spans="1:14" s="1" customFormat="1" ht="22.5" x14ac:dyDescent="0.25">
      <c r="A17" s="71" t="s">
        <v>137</v>
      </c>
      <c r="B17" s="71">
        <v>5501700</v>
      </c>
      <c r="C17" s="72" t="s">
        <v>56</v>
      </c>
      <c r="D17" s="71" t="s">
        <v>372</v>
      </c>
      <c r="E17" s="73">
        <v>48889.189999999995</v>
      </c>
      <c r="F17" s="74">
        <f t="shared" si="2"/>
        <v>0.64</v>
      </c>
      <c r="G17" s="74">
        <f t="shared" si="1"/>
        <v>31289.06</v>
      </c>
      <c r="H17" s="75"/>
      <c r="I17" s="62">
        <f t="shared" si="0"/>
        <v>0.64</v>
      </c>
      <c r="L17" s="6">
        <v>0.64</v>
      </c>
      <c r="N17" s="80">
        <v>31289.06</v>
      </c>
    </row>
    <row r="18" spans="1:14" s="1" customFormat="1" x14ac:dyDescent="0.25">
      <c r="A18" s="71" t="s">
        <v>138</v>
      </c>
      <c r="B18" s="71">
        <v>5501701</v>
      </c>
      <c r="C18" s="72" t="s">
        <v>57</v>
      </c>
      <c r="D18" s="71" t="s">
        <v>373</v>
      </c>
      <c r="E18" s="73">
        <v>154</v>
      </c>
      <c r="F18" s="74">
        <f t="shared" si="2"/>
        <v>47.25</v>
      </c>
      <c r="G18" s="74">
        <f t="shared" si="1"/>
        <v>7276.55</v>
      </c>
      <c r="H18" s="75"/>
      <c r="I18" s="62">
        <f t="shared" si="0"/>
        <v>47.25</v>
      </c>
      <c r="L18" s="6">
        <v>47.25</v>
      </c>
      <c r="N18" s="80">
        <v>7276.55</v>
      </c>
    </row>
    <row r="19" spans="1:14" s="1" customFormat="1" x14ac:dyDescent="0.25">
      <c r="A19" s="71" t="s">
        <v>139</v>
      </c>
      <c r="B19" s="71">
        <v>5501702</v>
      </c>
      <c r="C19" s="72" t="s">
        <v>58</v>
      </c>
      <c r="D19" s="71" t="s">
        <v>115</v>
      </c>
      <c r="E19" s="73">
        <v>46.999999999999986</v>
      </c>
      <c r="F19" s="74">
        <f t="shared" si="2"/>
        <v>118.12</v>
      </c>
      <c r="G19" s="74">
        <f t="shared" si="1"/>
        <v>5551.6200000000008</v>
      </c>
      <c r="H19" s="75"/>
      <c r="I19" s="62">
        <f t="shared" si="0"/>
        <v>118.12</v>
      </c>
      <c r="L19" s="6">
        <v>118.12</v>
      </c>
      <c r="N19" s="80">
        <v>5551.6200000000008</v>
      </c>
    </row>
    <row r="20" spans="1:14" s="1" customFormat="1" x14ac:dyDescent="0.25">
      <c r="A20" s="71" t="s">
        <v>140</v>
      </c>
      <c r="B20" s="71">
        <v>4915768</v>
      </c>
      <c r="C20" s="72" t="s">
        <v>59</v>
      </c>
      <c r="D20" s="71" t="s">
        <v>116</v>
      </c>
      <c r="E20" s="73">
        <v>186.40000000000003</v>
      </c>
      <c r="F20" s="74">
        <f t="shared" si="2"/>
        <v>19.87</v>
      </c>
      <c r="G20" s="74">
        <f t="shared" si="1"/>
        <v>3703.81</v>
      </c>
      <c r="H20" s="75"/>
      <c r="I20" s="62">
        <f t="shared" si="0"/>
        <v>19.87</v>
      </c>
      <c r="L20" s="6">
        <v>19.87</v>
      </c>
      <c r="N20" s="80">
        <v>3703.81</v>
      </c>
    </row>
    <row r="21" spans="1:14" s="1" customFormat="1" x14ac:dyDescent="0.25">
      <c r="A21" s="67" t="s">
        <v>141</v>
      </c>
      <c r="B21" s="67"/>
      <c r="C21" s="68" t="s">
        <v>55</v>
      </c>
      <c r="D21" s="67"/>
      <c r="E21" s="69"/>
      <c r="F21" s="70"/>
      <c r="G21" s="70">
        <f t="shared" si="1"/>
        <v>1352115.38</v>
      </c>
      <c r="H21" s="75"/>
      <c r="I21" s="62">
        <f t="shared" si="0"/>
        <v>0</v>
      </c>
      <c r="L21" s="6">
        <v>0</v>
      </c>
      <c r="N21" s="80">
        <v>1352115.38</v>
      </c>
    </row>
    <row r="22" spans="1:14" s="1" customFormat="1" x14ac:dyDescent="0.25">
      <c r="A22" s="71" t="s">
        <v>142</v>
      </c>
      <c r="B22" s="71">
        <v>5502978</v>
      </c>
      <c r="C22" s="72" t="s">
        <v>60</v>
      </c>
      <c r="D22" s="71" t="s">
        <v>116</v>
      </c>
      <c r="E22" s="73">
        <v>54992.6</v>
      </c>
      <c r="F22" s="74">
        <f t="shared" si="2"/>
        <v>6.01</v>
      </c>
      <c r="G22" s="74">
        <f t="shared" si="1"/>
        <v>330505.52999999997</v>
      </c>
      <c r="H22" s="75"/>
      <c r="I22" s="62">
        <f t="shared" si="0"/>
        <v>6.01</v>
      </c>
      <c r="L22" s="6">
        <v>6.01</v>
      </c>
      <c r="N22" s="80">
        <v>330505.52999999997</v>
      </c>
    </row>
    <row r="23" spans="1:14" s="1" customFormat="1" ht="22.5" x14ac:dyDescent="0.25">
      <c r="A23" s="71" t="s">
        <v>143</v>
      </c>
      <c r="B23" s="71">
        <v>5502997</v>
      </c>
      <c r="C23" s="72" t="s">
        <v>61</v>
      </c>
      <c r="D23" s="71" t="s">
        <v>116</v>
      </c>
      <c r="E23" s="73">
        <v>10</v>
      </c>
      <c r="F23" s="74">
        <f t="shared" si="2"/>
        <v>26.77</v>
      </c>
      <c r="G23" s="74">
        <f t="shared" si="1"/>
        <v>267.70999999999992</v>
      </c>
      <c r="H23" s="63"/>
      <c r="I23" s="62">
        <f t="shared" si="0"/>
        <v>26.77</v>
      </c>
      <c r="L23" s="6">
        <v>26.77</v>
      </c>
      <c r="N23" s="80">
        <v>267.70999999999992</v>
      </c>
    </row>
    <row r="24" spans="1:14" s="1" customFormat="1" x14ac:dyDescent="0.25">
      <c r="A24" s="71" t="s">
        <v>144</v>
      </c>
      <c r="B24" s="71">
        <v>2003868</v>
      </c>
      <c r="C24" s="72" t="s">
        <v>62</v>
      </c>
      <c r="D24" s="71" t="s">
        <v>116</v>
      </c>
      <c r="E24" s="73">
        <v>10</v>
      </c>
      <c r="F24" s="74">
        <f t="shared" si="2"/>
        <v>146.97</v>
      </c>
      <c r="G24" s="74">
        <f t="shared" si="1"/>
        <v>1469.6599999999999</v>
      </c>
      <c r="H24" s="75"/>
      <c r="I24" s="62">
        <f t="shared" si="0"/>
        <v>146.97</v>
      </c>
      <c r="L24" s="6">
        <v>146.97</v>
      </c>
      <c r="N24" s="80">
        <v>1469.6599999999999</v>
      </c>
    </row>
    <row r="25" spans="1:14" s="1" customFormat="1" ht="22.5" x14ac:dyDescent="0.25">
      <c r="A25" s="71" t="s">
        <v>145</v>
      </c>
      <c r="B25" s="71">
        <v>5502109</v>
      </c>
      <c r="C25" s="72" t="s">
        <v>63</v>
      </c>
      <c r="D25" s="71" t="s">
        <v>116</v>
      </c>
      <c r="E25" s="73">
        <v>3839.2499999999995</v>
      </c>
      <c r="F25" s="74">
        <f t="shared" si="2"/>
        <v>6.96</v>
      </c>
      <c r="G25" s="74">
        <f t="shared" si="1"/>
        <v>26721.170000000002</v>
      </c>
      <c r="H25" s="75"/>
      <c r="I25" s="62">
        <f t="shared" si="0"/>
        <v>6.96</v>
      </c>
      <c r="L25" s="6">
        <v>6.96</v>
      </c>
      <c r="N25" s="80">
        <v>26721.170000000002</v>
      </c>
    </row>
    <row r="26" spans="1:14" s="1" customFormat="1" ht="22.5" x14ac:dyDescent="0.25">
      <c r="A26" s="71" t="s">
        <v>146</v>
      </c>
      <c r="B26" s="71">
        <v>5502110</v>
      </c>
      <c r="C26" s="72" t="s">
        <v>64</v>
      </c>
      <c r="D26" s="71" t="s">
        <v>116</v>
      </c>
      <c r="E26" s="73">
        <v>10236.549999999997</v>
      </c>
      <c r="F26" s="74">
        <f t="shared" si="2"/>
        <v>7.42</v>
      </c>
      <c r="G26" s="74">
        <f t="shared" si="1"/>
        <v>75955.170000000013</v>
      </c>
      <c r="H26" s="75"/>
      <c r="I26" s="62">
        <f t="shared" si="0"/>
        <v>7.42</v>
      </c>
      <c r="L26" s="6">
        <v>7.42</v>
      </c>
      <c r="N26" s="80">
        <v>75955.170000000013</v>
      </c>
    </row>
    <row r="27" spans="1:14" s="1" customFormat="1" ht="22.5" x14ac:dyDescent="0.25">
      <c r="A27" s="71" t="s">
        <v>147</v>
      </c>
      <c r="B27" s="71" t="s">
        <v>245</v>
      </c>
      <c r="C27" s="72" t="s">
        <v>326</v>
      </c>
      <c r="D27" s="71" t="s">
        <v>116</v>
      </c>
      <c r="E27" s="73">
        <v>1970.1000000000004</v>
      </c>
      <c r="F27" s="74">
        <f t="shared" si="2"/>
        <v>9.33</v>
      </c>
      <c r="G27" s="74">
        <f t="shared" si="1"/>
        <v>18381.050000000003</v>
      </c>
      <c r="H27" s="75"/>
      <c r="I27" s="62">
        <f t="shared" si="0"/>
        <v>9.33</v>
      </c>
      <c r="L27" s="6">
        <v>9.33</v>
      </c>
      <c r="N27" s="80">
        <v>18381.050000000003</v>
      </c>
    </row>
    <row r="28" spans="1:14" s="1" customFormat="1" ht="22.5" x14ac:dyDescent="0.25">
      <c r="A28" s="71" t="s">
        <v>148</v>
      </c>
      <c r="B28" s="71" t="s">
        <v>246</v>
      </c>
      <c r="C28" s="72" t="s">
        <v>327</v>
      </c>
      <c r="D28" s="71" t="s">
        <v>116</v>
      </c>
      <c r="E28" s="73">
        <v>999.12000000000012</v>
      </c>
      <c r="F28" s="74">
        <f t="shared" si="2"/>
        <v>13.43</v>
      </c>
      <c r="G28" s="74">
        <f t="shared" si="1"/>
        <v>13418.19</v>
      </c>
      <c r="H28" s="63"/>
      <c r="I28" s="62">
        <f t="shared" si="0"/>
        <v>13.43</v>
      </c>
      <c r="L28" s="6">
        <v>13.43</v>
      </c>
      <c r="N28" s="80">
        <v>13418.19</v>
      </c>
    </row>
    <row r="29" spans="1:14" s="1" customFormat="1" ht="22.5" x14ac:dyDescent="0.25">
      <c r="A29" s="71" t="s">
        <v>149</v>
      </c>
      <c r="B29" s="71" t="s">
        <v>247</v>
      </c>
      <c r="C29" s="72" t="s">
        <v>328</v>
      </c>
      <c r="D29" s="71" t="s">
        <v>116</v>
      </c>
      <c r="E29" s="73">
        <v>43233.649999999994</v>
      </c>
      <c r="F29" s="74">
        <f t="shared" si="2"/>
        <v>13.93</v>
      </c>
      <c r="G29" s="74">
        <f t="shared" si="1"/>
        <v>602244.72999999986</v>
      </c>
      <c r="H29" s="63"/>
      <c r="I29" s="62">
        <f t="shared" si="0"/>
        <v>13.93</v>
      </c>
      <c r="L29" s="6">
        <v>13.93</v>
      </c>
      <c r="N29" s="80">
        <v>602244.72999999986</v>
      </c>
    </row>
    <row r="30" spans="1:14" s="1" customFormat="1" x14ac:dyDescent="0.25">
      <c r="A30" s="71" t="s">
        <v>150</v>
      </c>
      <c r="B30" s="71" t="s">
        <v>248</v>
      </c>
      <c r="C30" s="72" t="s">
        <v>67</v>
      </c>
      <c r="D30" s="71" t="s">
        <v>117</v>
      </c>
      <c r="E30" s="73">
        <v>261301.95</v>
      </c>
      <c r="F30" s="74">
        <f t="shared" si="2"/>
        <v>1.04</v>
      </c>
      <c r="G30" s="74">
        <f t="shared" si="1"/>
        <v>271754.0400000001</v>
      </c>
      <c r="H30" s="75"/>
      <c r="I30" s="62">
        <f t="shared" si="0"/>
        <v>1.04</v>
      </c>
      <c r="L30" s="6">
        <v>1.04</v>
      </c>
      <c r="N30" s="80">
        <v>271754.0400000001</v>
      </c>
    </row>
    <row r="31" spans="1:14" s="1" customFormat="1" ht="22.5" x14ac:dyDescent="0.25">
      <c r="A31" s="71" t="s">
        <v>151</v>
      </c>
      <c r="B31" s="71" t="s">
        <v>249</v>
      </c>
      <c r="C31" s="72" t="s">
        <v>65</v>
      </c>
      <c r="D31" s="71" t="s">
        <v>116</v>
      </c>
      <c r="E31" s="73">
        <v>404.73</v>
      </c>
      <c r="F31" s="74">
        <f t="shared" si="2"/>
        <v>10.19</v>
      </c>
      <c r="G31" s="74">
        <f t="shared" si="1"/>
        <v>4124.24</v>
      </c>
      <c r="H31" s="63"/>
      <c r="I31" s="62">
        <f t="shared" si="0"/>
        <v>10.19</v>
      </c>
      <c r="L31" s="6">
        <v>10.19</v>
      </c>
      <c r="N31" s="80">
        <v>4124.24</v>
      </c>
    </row>
    <row r="32" spans="1:14" s="1" customFormat="1" ht="22.5" x14ac:dyDescent="0.25">
      <c r="A32" s="71" t="s">
        <v>152</v>
      </c>
      <c r="B32" s="71" t="s">
        <v>250</v>
      </c>
      <c r="C32" s="72" t="s">
        <v>66</v>
      </c>
      <c r="D32" s="71" t="s">
        <v>116</v>
      </c>
      <c r="E32" s="73">
        <v>368.26999999999987</v>
      </c>
      <c r="F32" s="74">
        <f t="shared" si="2"/>
        <v>12.28</v>
      </c>
      <c r="G32" s="74">
        <f t="shared" si="1"/>
        <v>4522.34</v>
      </c>
      <c r="H32" s="75"/>
      <c r="I32" s="62">
        <f t="shared" si="0"/>
        <v>12.28</v>
      </c>
      <c r="L32" s="6">
        <v>12.28</v>
      </c>
      <c r="N32" s="80">
        <v>4522.34</v>
      </c>
    </row>
    <row r="33" spans="1:14" s="1" customFormat="1" ht="22.5" x14ac:dyDescent="0.25">
      <c r="A33" s="71" t="s">
        <v>153</v>
      </c>
      <c r="B33" s="71" t="s">
        <v>251</v>
      </c>
      <c r="C33" s="72" t="s">
        <v>329</v>
      </c>
      <c r="D33" s="71" t="s">
        <v>116</v>
      </c>
      <c r="E33" s="73">
        <v>218.9</v>
      </c>
      <c r="F33" s="74">
        <f t="shared" si="2"/>
        <v>12.57</v>
      </c>
      <c r="G33" s="74">
        <f t="shared" si="1"/>
        <v>2751.5500000000006</v>
      </c>
      <c r="H33" s="75"/>
      <c r="I33" s="62">
        <f t="shared" si="0"/>
        <v>12.57</v>
      </c>
      <c r="L33" s="6">
        <v>12.57</v>
      </c>
      <c r="N33" s="80">
        <v>2751.5500000000006</v>
      </c>
    </row>
    <row r="34" spans="1:14" s="1" customFormat="1" x14ac:dyDescent="0.25">
      <c r="A34" s="67" t="s">
        <v>154</v>
      </c>
      <c r="B34" s="67"/>
      <c r="C34" s="68" t="s">
        <v>330</v>
      </c>
      <c r="D34" s="67"/>
      <c r="E34" s="69"/>
      <c r="F34" s="70"/>
      <c r="G34" s="70">
        <f t="shared" si="1"/>
        <v>57436.53</v>
      </c>
      <c r="H34" s="75"/>
      <c r="I34" s="62">
        <f t="shared" si="0"/>
        <v>0</v>
      </c>
      <c r="L34" s="6">
        <v>0</v>
      </c>
      <c r="N34" s="80">
        <v>57436.53</v>
      </c>
    </row>
    <row r="35" spans="1:14" s="1" customFormat="1" x14ac:dyDescent="0.25">
      <c r="A35" s="71" t="s">
        <v>155</v>
      </c>
      <c r="B35" s="71" t="s">
        <v>252</v>
      </c>
      <c r="C35" s="72" t="s">
        <v>68</v>
      </c>
      <c r="D35" s="71" t="s">
        <v>114</v>
      </c>
      <c r="E35" s="73">
        <v>31158.53999999999</v>
      </c>
      <c r="F35" s="74">
        <f t="shared" si="2"/>
        <v>1.39</v>
      </c>
      <c r="G35" s="74">
        <f t="shared" si="1"/>
        <v>43310.390000000007</v>
      </c>
      <c r="H35" s="75"/>
      <c r="I35" s="62">
        <f t="shared" si="0"/>
        <v>1.39</v>
      </c>
      <c r="L35" s="6">
        <v>1.39</v>
      </c>
      <c r="N35" s="80">
        <v>43310.390000000007</v>
      </c>
    </row>
    <row r="36" spans="1:14" s="1" customFormat="1" x14ac:dyDescent="0.25">
      <c r="A36" s="71" t="s">
        <v>156</v>
      </c>
      <c r="B36" s="71" t="s">
        <v>253</v>
      </c>
      <c r="C36" s="72" t="s">
        <v>69</v>
      </c>
      <c r="D36" s="71" t="s">
        <v>116</v>
      </c>
      <c r="E36" s="73">
        <v>199.07</v>
      </c>
      <c r="F36" s="74">
        <f t="shared" si="2"/>
        <v>19.73</v>
      </c>
      <c r="G36" s="74">
        <f t="shared" si="1"/>
        <v>3927.66</v>
      </c>
      <c r="H36" s="63"/>
      <c r="I36" s="62">
        <f t="shared" si="0"/>
        <v>19.73</v>
      </c>
      <c r="L36" s="6">
        <v>19.73</v>
      </c>
      <c r="N36" s="80">
        <v>3927.66</v>
      </c>
    </row>
    <row r="37" spans="1:14" s="1" customFormat="1" x14ac:dyDescent="0.25">
      <c r="A37" s="71" t="s">
        <v>157</v>
      </c>
      <c r="B37" s="71" t="s">
        <v>254</v>
      </c>
      <c r="C37" s="72" t="s">
        <v>70</v>
      </c>
      <c r="D37" s="71" t="s">
        <v>116</v>
      </c>
      <c r="E37" s="73">
        <v>33.18</v>
      </c>
      <c r="F37" s="74">
        <f t="shared" si="2"/>
        <v>27.05</v>
      </c>
      <c r="G37" s="74">
        <f t="shared" si="1"/>
        <v>897.52</v>
      </c>
      <c r="H37" s="75"/>
      <c r="I37" s="62">
        <f t="shared" si="0"/>
        <v>27.05</v>
      </c>
      <c r="L37" s="6">
        <v>27.05</v>
      </c>
      <c r="N37" s="80">
        <v>897.52</v>
      </c>
    </row>
    <row r="38" spans="1:14" s="1" customFormat="1" x14ac:dyDescent="0.25">
      <c r="A38" s="71" t="s">
        <v>158</v>
      </c>
      <c r="B38" s="71" t="s">
        <v>255</v>
      </c>
      <c r="C38" s="72" t="s">
        <v>331</v>
      </c>
      <c r="D38" s="71" t="s">
        <v>114</v>
      </c>
      <c r="E38" s="73">
        <v>1557.95</v>
      </c>
      <c r="F38" s="74">
        <f t="shared" si="2"/>
        <v>5.97</v>
      </c>
      <c r="G38" s="74">
        <f t="shared" si="1"/>
        <v>9300.9599999999991</v>
      </c>
      <c r="H38" s="75"/>
      <c r="I38" s="62">
        <f t="shared" si="0"/>
        <v>5.97</v>
      </c>
      <c r="L38" s="6">
        <v>5.97</v>
      </c>
      <c r="N38" s="80">
        <v>9300.9599999999991</v>
      </c>
    </row>
    <row r="39" spans="1:14" s="1" customFormat="1" x14ac:dyDescent="0.25">
      <c r="A39" s="67" t="s">
        <v>159</v>
      </c>
      <c r="B39" s="67"/>
      <c r="C39" s="68" t="s">
        <v>332</v>
      </c>
      <c r="D39" s="67"/>
      <c r="E39" s="69"/>
      <c r="F39" s="70"/>
      <c r="G39" s="70">
        <f t="shared" si="1"/>
        <v>2289649.13</v>
      </c>
      <c r="H39" s="75"/>
      <c r="I39" s="62">
        <f t="shared" si="0"/>
        <v>0</v>
      </c>
      <c r="L39" s="6">
        <v>0</v>
      </c>
      <c r="N39" s="80">
        <v>2289649.13</v>
      </c>
    </row>
    <row r="40" spans="1:14" s="1" customFormat="1" x14ac:dyDescent="0.25">
      <c r="A40" s="71" t="s">
        <v>160</v>
      </c>
      <c r="B40" s="71" t="s">
        <v>256</v>
      </c>
      <c r="C40" s="72" t="s">
        <v>71</v>
      </c>
      <c r="D40" s="71" t="s">
        <v>116</v>
      </c>
      <c r="E40" s="73">
        <v>731.33</v>
      </c>
      <c r="F40" s="74">
        <f t="shared" si="2"/>
        <v>172.45</v>
      </c>
      <c r="G40" s="74">
        <f t="shared" si="1"/>
        <v>126117.85999999996</v>
      </c>
      <c r="H40" s="75"/>
      <c r="I40" s="62">
        <f t="shared" si="0"/>
        <v>172.45</v>
      </c>
      <c r="L40" s="6">
        <v>172.45</v>
      </c>
      <c r="N40" s="80">
        <v>126117.85999999996</v>
      </c>
    </row>
    <row r="41" spans="1:14" s="1" customFormat="1" x14ac:dyDescent="0.25">
      <c r="A41" s="71" t="s">
        <v>161</v>
      </c>
      <c r="B41" s="71" t="s">
        <v>257</v>
      </c>
      <c r="C41" s="72" t="s">
        <v>72</v>
      </c>
      <c r="D41" s="71" t="s">
        <v>116</v>
      </c>
      <c r="E41" s="73">
        <v>4875.51</v>
      </c>
      <c r="F41" s="74">
        <f t="shared" si="2"/>
        <v>238.96</v>
      </c>
      <c r="G41" s="74">
        <f t="shared" si="1"/>
        <v>1165051.8899999997</v>
      </c>
      <c r="H41" s="75"/>
      <c r="I41" s="62">
        <f t="shared" si="0"/>
        <v>238.96</v>
      </c>
      <c r="L41" s="6">
        <v>238.96</v>
      </c>
      <c r="N41" s="80">
        <v>1165051.8899999997</v>
      </c>
    </row>
    <row r="42" spans="1:14" s="1" customFormat="1" x14ac:dyDescent="0.25">
      <c r="A42" s="71" t="s">
        <v>162</v>
      </c>
      <c r="B42" s="71" t="s">
        <v>258</v>
      </c>
      <c r="C42" s="72" t="s">
        <v>73</v>
      </c>
      <c r="D42" s="71" t="s">
        <v>116</v>
      </c>
      <c r="E42" s="73">
        <v>3656.63</v>
      </c>
      <c r="F42" s="74">
        <f t="shared" si="2"/>
        <v>273.06</v>
      </c>
      <c r="G42" s="74">
        <f t="shared" si="1"/>
        <v>998479.38000000012</v>
      </c>
      <c r="H42" s="63"/>
      <c r="I42" s="62">
        <f t="shared" si="0"/>
        <v>273.06</v>
      </c>
      <c r="L42" s="6">
        <v>273.06</v>
      </c>
      <c r="N42" s="80">
        <v>998479.38000000012</v>
      </c>
    </row>
    <row r="43" spans="1:14" s="1" customFormat="1" x14ac:dyDescent="0.25">
      <c r="A43" s="67" t="s">
        <v>163</v>
      </c>
      <c r="B43" s="67"/>
      <c r="C43" s="68" t="s">
        <v>53</v>
      </c>
      <c r="D43" s="67"/>
      <c r="E43" s="69"/>
      <c r="F43" s="70"/>
      <c r="G43" s="70">
        <f t="shared" si="1"/>
        <v>757869.1</v>
      </c>
      <c r="H43" s="75"/>
      <c r="I43" s="62">
        <f t="shared" si="0"/>
        <v>0</v>
      </c>
      <c r="L43" s="6">
        <v>0</v>
      </c>
      <c r="N43" s="80">
        <v>757869.1</v>
      </c>
    </row>
    <row r="44" spans="1:14" s="1" customFormat="1" x14ac:dyDescent="0.25">
      <c r="A44" s="71" t="s">
        <v>164</v>
      </c>
      <c r="B44" s="71" t="s">
        <v>259</v>
      </c>
      <c r="C44" s="72" t="s">
        <v>74</v>
      </c>
      <c r="D44" s="71" t="s">
        <v>114</v>
      </c>
      <c r="E44" s="73">
        <v>24377.550000000003</v>
      </c>
      <c r="F44" s="74">
        <f t="shared" si="2"/>
        <v>0.5</v>
      </c>
      <c r="G44" s="74">
        <f t="shared" si="1"/>
        <v>12188.81</v>
      </c>
      <c r="H44" s="75"/>
      <c r="I44" s="62">
        <f t="shared" si="0"/>
        <v>0.5</v>
      </c>
      <c r="L44" s="6">
        <v>0.5</v>
      </c>
      <c r="N44" s="80">
        <v>12188.81</v>
      </c>
    </row>
    <row r="45" spans="1:14" s="1" customFormat="1" x14ac:dyDescent="0.25">
      <c r="A45" s="71" t="s">
        <v>165</v>
      </c>
      <c r="B45" s="71" t="s">
        <v>260</v>
      </c>
      <c r="C45" s="72" t="s">
        <v>75</v>
      </c>
      <c r="D45" s="71" t="s">
        <v>114</v>
      </c>
      <c r="E45" s="73">
        <v>24377.550000000003</v>
      </c>
      <c r="F45" s="74">
        <f t="shared" si="2"/>
        <v>0.34</v>
      </c>
      <c r="G45" s="74">
        <f t="shared" si="1"/>
        <v>8288.3800000000028</v>
      </c>
      <c r="H45" s="75"/>
      <c r="I45" s="62">
        <f t="shared" si="0"/>
        <v>0.34</v>
      </c>
      <c r="L45" s="6">
        <v>0.34</v>
      </c>
      <c r="N45" s="80">
        <v>8288.3800000000028</v>
      </c>
    </row>
    <row r="46" spans="1:14" s="1" customFormat="1" x14ac:dyDescent="0.25">
      <c r="A46" s="71" t="s">
        <v>166</v>
      </c>
      <c r="B46" s="71" t="s">
        <v>261</v>
      </c>
      <c r="C46" s="72" t="s">
        <v>76</v>
      </c>
      <c r="D46" s="71" t="s">
        <v>118</v>
      </c>
      <c r="E46" s="73">
        <v>3047.2000000000003</v>
      </c>
      <c r="F46" s="74">
        <f t="shared" si="2"/>
        <v>241.99</v>
      </c>
      <c r="G46" s="74">
        <f t="shared" si="1"/>
        <v>737391.90999999992</v>
      </c>
      <c r="H46" s="75"/>
      <c r="I46" s="62">
        <f t="shared" si="0"/>
        <v>241.99</v>
      </c>
      <c r="L46" s="6">
        <v>241.99</v>
      </c>
      <c r="N46" s="80">
        <v>737391.90999999992</v>
      </c>
    </row>
    <row r="47" spans="1:14" s="1" customFormat="1" x14ac:dyDescent="0.25">
      <c r="A47" s="67" t="s">
        <v>167</v>
      </c>
      <c r="B47" s="67"/>
      <c r="C47" s="68" t="s">
        <v>77</v>
      </c>
      <c r="D47" s="67"/>
      <c r="E47" s="69"/>
      <c r="F47" s="70"/>
      <c r="G47" s="70">
        <f t="shared" si="1"/>
        <v>1087421.0900000001</v>
      </c>
      <c r="H47" s="63"/>
      <c r="I47" s="62">
        <f t="shared" si="0"/>
        <v>0</v>
      </c>
      <c r="L47" s="6">
        <v>0</v>
      </c>
      <c r="N47" s="80">
        <v>1087421.0900000001</v>
      </c>
    </row>
    <row r="48" spans="1:14" s="1" customFormat="1" x14ac:dyDescent="0.25">
      <c r="A48" s="71" t="s">
        <v>168</v>
      </c>
      <c r="B48" s="71" t="s">
        <v>262</v>
      </c>
      <c r="C48" s="72" t="s">
        <v>78</v>
      </c>
      <c r="D48" s="71" t="s">
        <v>118</v>
      </c>
      <c r="E48" s="73">
        <v>173.68999999999994</v>
      </c>
      <c r="F48" s="74">
        <f t="shared" si="2"/>
        <v>5253.15</v>
      </c>
      <c r="G48" s="74">
        <f t="shared" si="1"/>
        <v>912419.62000000011</v>
      </c>
      <c r="H48" s="75"/>
      <c r="I48" s="62">
        <f t="shared" si="0"/>
        <v>5253.15</v>
      </c>
      <c r="L48" s="6">
        <v>5253.15</v>
      </c>
      <c r="N48" s="80">
        <v>912419.62000000011</v>
      </c>
    </row>
    <row r="49" spans="1:14" s="1" customFormat="1" x14ac:dyDescent="0.25">
      <c r="A49" s="71" t="s">
        <v>169</v>
      </c>
      <c r="B49" s="71" t="s">
        <v>263</v>
      </c>
      <c r="C49" s="72" t="s">
        <v>79</v>
      </c>
      <c r="D49" s="71" t="s">
        <v>118</v>
      </c>
      <c r="E49" s="73">
        <v>29.250000000000007</v>
      </c>
      <c r="F49" s="74">
        <f t="shared" si="2"/>
        <v>4291.8900000000003</v>
      </c>
      <c r="G49" s="74">
        <f t="shared" si="1"/>
        <v>125537.79000000001</v>
      </c>
      <c r="H49" s="75"/>
      <c r="I49" s="62">
        <f t="shared" si="0"/>
        <v>4291.8900000000003</v>
      </c>
      <c r="L49" s="6">
        <v>4291.8900000000003</v>
      </c>
      <c r="N49" s="80">
        <v>125537.79000000001</v>
      </c>
    </row>
    <row r="50" spans="1:14" s="1" customFormat="1" x14ac:dyDescent="0.25">
      <c r="A50" s="71" t="s">
        <v>170</v>
      </c>
      <c r="B50" s="71" t="s">
        <v>264</v>
      </c>
      <c r="C50" s="72" t="s">
        <v>80</v>
      </c>
      <c r="D50" s="71" t="s">
        <v>118</v>
      </c>
      <c r="E50" s="73">
        <v>12.190000000000001</v>
      </c>
      <c r="F50" s="74">
        <f t="shared" si="2"/>
        <v>4057.73</v>
      </c>
      <c r="G50" s="74">
        <f t="shared" si="1"/>
        <v>49463.679999999993</v>
      </c>
      <c r="H50" s="75"/>
      <c r="I50" s="62">
        <f t="shared" si="0"/>
        <v>4057.73</v>
      </c>
      <c r="L50" s="6">
        <v>4057.73</v>
      </c>
      <c r="N50" s="80">
        <v>49463.679999999993</v>
      </c>
    </row>
    <row r="51" spans="1:14" s="1" customFormat="1" x14ac:dyDescent="0.25">
      <c r="A51" s="67" t="s">
        <v>171</v>
      </c>
      <c r="B51" s="67"/>
      <c r="C51" s="68" t="s">
        <v>81</v>
      </c>
      <c r="D51" s="67"/>
      <c r="E51" s="69"/>
      <c r="F51" s="70"/>
      <c r="G51" s="70">
        <f t="shared" si="1"/>
        <v>531357.44999999995</v>
      </c>
      <c r="H51" s="63"/>
      <c r="I51" s="62">
        <f t="shared" si="0"/>
        <v>0</v>
      </c>
      <c r="L51" s="6">
        <v>0</v>
      </c>
      <c r="N51" s="80">
        <v>531357.44999999995</v>
      </c>
    </row>
    <row r="52" spans="1:14" s="1" customFormat="1" x14ac:dyDescent="0.25">
      <c r="A52" s="71" t="s">
        <v>172</v>
      </c>
      <c r="B52" s="71" t="s">
        <v>265</v>
      </c>
      <c r="C52" s="72" t="s">
        <v>82</v>
      </c>
      <c r="D52" s="71" t="s">
        <v>116</v>
      </c>
      <c r="E52" s="73">
        <v>1318.2</v>
      </c>
      <c r="F52" s="74">
        <f t="shared" si="2"/>
        <v>8.4499999999999993</v>
      </c>
      <c r="G52" s="74">
        <f t="shared" si="1"/>
        <v>11138.8</v>
      </c>
      <c r="H52" s="75"/>
      <c r="I52" s="62">
        <f t="shared" si="0"/>
        <v>8.4499999999999993</v>
      </c>
      <c r="L52" s="6">
        <v>8.4499999999999993</v>
      </c>
      <c r="N52" s="80">
        <v>11138.8</v>
      </c>
    </row>
    <row r="53" spans="1:14" s="1" customFormat="1" x14ac:dyDescent="0.25">
      <c r="A53" s="71" t="s">
        <v>173</v>
      </c>
      <c r="B53" s="71" t="s">
        <v>266</v>
      </c>
      <c r="C53" s="72" t="s">
        <v>83</v>
      </c>
      <c r="D53" s="71" t="s">
        <v>116</v>
      </c>
      <c r="E53" s="73">
        <v>131.60000000000002</v>
      </c>
      <c r="F53" s="74">
        <f t="shared" si="2"/>
        <v>10.33</v>
      </c>
      <c r="G53" s="74">
        <f t="shared" si="1"/>
        <v>1359.4099999999999</v>
      </c>
      <c r="H53" s="75"/>
      <c r="I53" s="62">
        <f t="shared" si="0"/>
        <v>10.33</v>
      </c>
      <c r="L53" s="6">
        <v>10.33</v>
      </c>
      <c r="N53" s="80">
        <v>1359.4099999999999</v>
      </c>
    </row>
    <row r="54" spans="1:14" s="1" customFormat="1" x14ac:dyDescent="0.25">
      <c r="A54" s="71" t="s">
        <v>174</v>
      </c>
      <c r="B54" s="71" t="s">
        <v>267</v>
      </c>
      <c r="C54" s="72" t="s">
        <v>84</v>
      </c>
      <c r="D54" s="71" t="s">
        <v>116</v>
      </c>
      <c r="E54" s="73">
        <v>1059.21</v>
      </c>
      <c r="F54" s="74">
        <f t="shared" si="2"/>
        <v>24.25</v>
      </c>
      <c r="G54" s="74">
        <f t="shared" si="1"/>
        <v>25685.859999999997</v>
      </c>
      <c r="H54" s="75"/>
      <c r="I54" s="62">
        <f t="shared" si="0"/>
        <v>24.25</v>
      </c>
      <c r="L54" s="6">
        <v>24.25</v>
      </c>
      <c r="N54" s="80">
        <v>25685.859999999997</v>
      </c>
    </row>
    <row r="55" spans="1:14" s="1" customFormat="1" x14ac:dyDescent="0.25">
      <c r="A55" s="71" t="s">
        <v>175</v>
      </c>
      <c r="B55" s="71" t="s">
        <v>268</v>
      </c>
      <c r="C55" s="72" t="s">
        <v>85</v>
      </c>
      <c r="D55" s="71" t="s">
        <v>119</v>
      </c>
      <c r="E55" s="73">
        <v>370.2</v>
      </c>
      <c r="F55" s="74">
        <f t="shared" si="2"/>
        <v>321.7</v>
      </c>
      <c r="G55" s="74">
        <f t="shared" si="1"/>
        <v>119093.33999999998</v>
      </c>
      <c r="H55" s="63"/>
      <c r="I55" s="62">
        <f t="shared" si="0"/>
        <v>321.7</v>
      </c>
      <c r="L55" s="6">
        <v>321.7</v>
      </c>
      <c r="N55" s="80">
        <v>119093.33999999998</v>
      </c>
    </row>
    <row r="56" spans="1:14" s="1" customFormat="1" x14ac:dyDescent="0.25">
      <c r="A56" s="71" t="s">
        <v>176</v>
      </c>
      <c r="B56" s="71" t="s">
        <v>269</v>
      </c>
      <c r="C56" s="72" t="s">
        <v>86</v>
      </c>
      <c r="D56" s="71" t="s">
        <v>119</v>
      </c>
      <c r="E56" s="73">
        <v>466</v>
      </c>
      <c r="F56" s="74">
        <f t="shared" si="2"/>
        <v>528.91999999999996</v>
      </c>
      <c r="G56" s="74">
        <f t="shared" si="1"/>
        <v>246476.71999999997</v>
      </c>
      <c r="H56" s="75"/>
      <c r="I56" s="62">
        <f t="shared" si="0"/>
        <v>528.91999999999996</v>
      </c>
      <c r="L56" s="6">
        <v>528.91999999999996</v>
      </c>
      <c r="N56" s="80">
        <v>246476.71999999997</v>
      </c>
    </row>
    <row r="57" spans="1:14" s="1" customFormat="1" x14ac:dyDescent="0.25">
      <c r="A57" s="71" t="s">
        <v>177</v>
      </c>
      <c r="B57" s="71" t="s">
        <v>270</v>
      </c>
      <c r="C57" s="72" t="s">
        <v>87</v>
      </c>
      <c r="D57" s="71" t="s">
        <v>119</v>
      </c>
      <c r="E57" s="73">
        <v>156</v>
      </c>
      <c r="F57" s="74">
        <f t="shared" si="2"/>
        <v>817.97</v>
      </c>
      <c r="G57" s="74">
        <f t="shared" si="1"/>
        <v>127603.32</v>
      </c>
      <c r="H57" s="75"/>
      <c r="I57" s="62">
        <f t="shared" si="0"/>
        <v>817.97</v>
      </c>
      <c r="L57" s="6">
        <v>817.97</v>
      </c>
      <c r="N57" s="80">
        <v>127603.32</v>
      </c>
    </row>
    <row r="58" spans="1:14" s="1" customFormat="1" x14ac:dyDescent="0.25">
      <c r="A58" s="67" t="s">
        <v>178</v>
      </c>
      <c r="B58" s="67"/>
      <c r="C58" s="68" t="s">
        <v>333</v>
      </c>
      <c r="D58" s="67"/>
      <c r="E58" s="69"/>
      <c r="F58" s="70"/>
      <c r="G58" s="70">
        <f t="shared" si="1"/>
        <v>46256.99</v>
      </c>
      <c r="H58" s="63"/>
      <c r="I58" s="62">
        <f t="shared" si="0"/>
        <v>0</v>
      </c>
      <c r="L58" s="6">
        <v>0</v>
      </c>
      <c r="N58" s="80">
        <v>46256.99</v>
      </c>
    </row>
    <row r="59" spans="1:14" s="1" customFormat="1" x14ac:dyDescent="0.25">
      <c r="A59" s="71" t="s">
        <v>179</v>
      </c>
      <c r="B59" s="71" t="s">
        <v>271</v>
      </c>
      <c r="C59" s="72" t="s">
        <v>334</v>
      </c>
      <c r="D59" s="71" t="s">
        <v>120</v>
      </c>
      <c r="E59" s="73">
        <v>1</v>
      </c>
      <c r="F59" s="74">
        <f t="shared" si="2"/>
        <v>903.92</v>
      </c>
      <c r="G59" s="74">
        <f t="shared" si="1"/>
        <v>903.92</v>
      </c>
      <c r="H59" s="75"/>
      <c r="I59" s="62">
        <f t="shared" si="0"/>
        <v>903.92</v>
      </c>
      <c r="L59" s="6">
        <v>903.92</v>
      </c>
      <c r="N59" s="80">
        <v>903.92</v>
      </c>
    </row>
    <row r="60" spans="1:14" s="1" customFormat="1" x14ac:dyDescent="0.25">
      <c r="A60" s="71" t="s">
        <v>180</v>
      </c>
      <c r="B60" s="71" t="s">
        <v>272</v>
      </c>
      <c r="C60" s="72" t="s">
        <v>335</v>
      </c>
      <c r="D60" s="71" t="s">
        <v>120</v>
      </c>
      <c r="E60" s="73">
        <v>1</v>
      </c>
      <c r="F60" s="74">
        <f t="shared" si="2"/>
        <v>1120.9000000000001</v>
      </c>
      <c r="G60" s="74">
        <f t="shared" si="1"/>
        <v>1120.9000000000001</v>
      </c>
      <c r="H60" s="75"/>
      <c r="I60" s="62">
        <f t="shared" si="0"/>
        <v>1120.9000000000001</v>
      </c>
      <c r="L60" s="6">
        <v>1120.9000000000001</v>
      </c>
      <c r="N60" s="80">
        <v>1120.9000000000001</v>
      </c>
    </row>
    <row r="61" spans="1:14" s="1" customFormat="1" x14ac:dyDescent="0.25">
      <c r="A61" s="71" t="s">
        <v>181</v>
      </c>
      <c r="B61" s="71" t="s">
        <v>273</v>
      </c>
      <c r="C61" s="72" t="s">
        <v>336</v>
      </c>
      <c r="D61" s="71" t="s">
        <v>120</v>
      </c>
      <c r="E61" s="73">
        <v>2</v>
      </c>
      <c r="F61" s="74">
        <f t="shared" si="2"/>
        <v>973.48</v>
      </c>
      <c r="G61" s="74">
        <f t="shared" si="1"/>
        <v>1946.96</v>
      </c>
      <c r="H61" s="75"/>
      <c r="I61" s="62">
        <f t="shared" si="0"/>
        <v>973.48</v>
      </c>
      <c r="L61" s="6">
        <v>973.48</v>
      </c>
      <c r="N61" s="80">
        <v>1946.96</v>
      </c>
    </row>
    <row r="62" spans="1:14" s="1" customFormat="1" x14ac:dyDescent="0.25">
      <c r="A62" s="71" t="s">
        <v>182</v>
      </c>
      <c r="B62" s="71" t="s">
        <v>274</v>
      </c>
      <c r="C62" s="72" t="s">
        <v>88</v>
      </c>
      <c r="D62" s="71" t="s">
        <v>120</v>
      </c>
      <c r="E62" s="73">
        <v>1</v>
      </c>
      <c r="F62" s="74">
        <f t="shared" si="2"/>
        <v>1530.52</v>
      </c>
      <c r="G62" s="74">
        <f t="shared" si="1"/>
        <v>1530.52</v>
      </c>
      <c r="H62" s="75"/>
      <c r="I62" s="62">
        <f t="shared" si="0"/>
        <v>1530.52</v>
      </c>
      <c r="L62" s="6">
        <v>1530.52</v>
      </c>
      <c r="N62" s="80">
        <v>1530.52</v>
      </c>
    </row>
    <row r="63" spans="1:14" s="1" customFormat="1" x14ac:dyDescent="0.25">
      <c r="A63" s="71" t="s">
        <v>183</v>
      </c>
      <c r="B63" s="71" t="s">
        <v>275</v>
      </c>
      <c r="C63" s="72" t="s">
        <v>337</v>
      </c>
      <c r="D63" s="71" t="s">
        <v>120</v>
      </c>
      <c r="E63" s="73">
        <v>1</v>
      </c>
      <c r="F63" s="74">
        <f t="shared" si="2"/>
        <v>253.19</v>
      </c>
      <c r="G63" s="74">
        <f t="shared" si="1"/>
        <v>253.19</v>
      </c>
      <c r="H63" s="75"/>
      <c r="I63" s="62">
        <f t="shared" si="0"/>
        <v>253.19</v>
      </c>
      <c r="L63" s="6">
        <v>253.19</v>
      </c>
      <c r="N63" s="80">
        <v>253.19</v>
      </c>
    </row>
    <row r="64" spans="1:14" s="1" customFormat="1" x14ac:dyDescent="0.25">
      <c r="A64" s="71" t="s">
        <v>184</v>
      </c>
      <c r="B64" s="71" t="s">
        <v>276</v>
      </c>
      <c r="C64" s="72" t="s">
        <v>338</v>
      </c>
      <c r="D64" s="71" t="s">
        <v>120</v>
      </c>
      <c r="E64" s="73">
        <v>8</v>
      </c>
      <c r="F64" s="74">
        <f t="shared" si="2"/>
        <v>1159.3399999999999</v>
      </c>
      <c r="G64" s="74">
        <f t="shared" si="1"/>
        <v>9274.7199999999993</v>
      </c>
      <c r="H64" s="63"/>
      <c r="I64" s="62">
        <f t="shared" si="0"/>
        <v>1159.3399999999999</v>
      </c>
      <c r="L64" s="6">
        <v>1159.3399999999999</v>
      </c>
      <c r="N64" s="80">
        <v>9274.7199999999993</v>
      </c>
    </row>
    <row r="65" spans="1:14" s="1" customFormat="1" x14ac:dyDescent="0.25">
      <c r="A65" s="71" t="s">
        <v>185</v>
      </c>
      <c r="B65" s="71" t="s">
        <v>277</v>
      </c>
      <c r="C65" s="72" t="s">
        <v>93</v>
      </c>
      <c r="D65" s="71" t="s">
        <v>115</v>
      </c>
      <c r="E65" s="73">
        <v>14</v>
      </c>
      <c r="F65" s="74">
        <f t="shared" si="2"/>
        <v>1468.57</v>
      </c>
      <c r="G65" s="74">
        <f t="shared" si="1"/>
        <v>20559.98</v>
      </c>
      <c r="H65" s="75"/>
      <c r="I65" s="62">
        <f t="shared" si="0"/>
        <v>1468.57</v>
      </c>
      <c r="L65" s="6">
        <v>1468.57</v>
      </c>
      <c r="N65" s="80">
        <v>20559.98</v>
      </c>
    </row>
    <row r="66" spans="1:14" s="1" customFormat="1" x14ac:dyDescent="0.25">
      <c r="A66" s="71" t="s">
        <v>186</v>
      </c>
      <c r="B66" s="71" t="s">
        <v>278</v>
      </c>
      <c r="C66" s="72" t="s">
        <v>94</v>
      </c>
      <c r="D66" s="71" t="s">
        <v>115</v>
      </c>
      <c r="E66" s="73">
        <v>6</v>
      </c>
      <c r="F66" s="74">
        <f t="shared" si="2"/>
        <v>1777.8</v>
      </c>
      <c r="G66" s="74">
        <f t="shared" si="1"/>
        <v>10666.8</v>
      </c>
      <c r="H66" s="75"/>
      <c r="I66" s="62">
        <f t="shared" si="0"/>
        <v>1777.8</v>
      </c>
      <c r="L66" s="6">
        <v>1777.8</v>
      </c>
      <c r="N66" s="80">
        <v>10666.8</v>
      </c>
    </row>
    <row r="67" spans="1:14" s="1" customFormat="1" x14ac:dyDescent="0.25">
      <c r="A67" s="67" t="s">
        <v>187</v>
      </c>
      <c r="B67" s="67"/>
      <c r="C67" s="68" t="s">
        <v>339</v>
      </c>
      <c r="D67" s="67"/>
      <c r="E67" s="69"/>
      <c r="F67" s="70"/>
      <c r="G67" s="70">
        <f t="shared" si="1"/>
        <v>131068</v>
      </c>
      <c r="H67" s="75"/>
      <c r="I67" s="62">
        <f t="shared" si="0"/>
        <v>0</v>
      </c>
      <c r="L67" s="6">
        <v>0</v>
      </c>
      <c r="N67" s="80">
        <v>131068</v>
      </c>
    </row>
    <row r="68" spans="1:14" s="1" customFormat="1" x14ac:dyDescent="0.25">
      <c r="A68" s="71" t="s">
        <v>188</v>
      </c>
      <c r="B68" s="71" t="s">
        <v>279</v>
      </c>
      <c r="C68" s="72" t="s">
        <v>89</v>
      </c>
      <c r="D68" s="71" t="s">
        <v>119</v>
      </c>
      <c r="E68" s="73">
        <v>560</v>
      </c>
      <c r="F68" s="74">
        <f t="shared" si="2"/>
        <v>234.05</v>
      </c>
      <c r="G68" s="74">
        <f t="shared" si="1"/>
        <v>131068</v>
      </c>
      <c r="H68" s="75"/>
      <c r="I68" s="62">
        <f t="shared" si="0"/>
        <v>234.05</v>
      </c>
      <c r="L68" s="6">
        <v>234.05</v>
      </c>
      <c r="N68" s="80">
        <v>131068</v>
      </c>
    </row>
    <row r="69" spans="1:14" s="1" customFormat="1" x14ac:dyDescent="0.25">
      <c r="A69" s="67" t="s">
        <v>189</v>
      </c>
      <c r="B69" s="67"/>
      <c r="C69" s="68" t="s">
        <v>340</v>
      </c>
      <c r="D69" s="67"/>
      <c r="E69" s="69"/>
      <c r="F69" s="70"/>
      <c r="G69" s="70">
        <f t="shared" si="1"/>
        <v>553730.85</v>
      </c>
      <c r="H69" s="75"/>
      <c r="I69" s="62">
        <f t="shared" si="0"/>
        <v>0</v>
      </c>
      <c r="L69" s="6">
        <v>0</v>
      </c>
      <c r="N69" s="80">
        <v>553730.85</v>
      </c>
    </row>
    <row r="70" spans="1:14" s="1" customFormat="1" x14ac:dyDescent="0.25">
      <c r="A70" s="71" t="s">
        <v>190</v>
      </c>
      <c r="B70" s="71" t="s">
        <v>280</v>
      </c>
      <c r="C70" s="72" t="s">
        <v>90</v>
      </c>
      <c r="D70" s="71" t="s">
        <v>119</v>
      </c>
      <c r="E70" s="73">
        <v>3465.0200000000004</v>
      </c>
      <c r="F70" s="74">
        <f t="shared" si="2"/>
        <v>142.88999999999999</v>
      </c>
      <c r="G70" s="74">
        <f t="shared" si="1"/>
        <v>495116.7099999999</v>
      </c>
      <c r="H70" s="75"/>
      <c r="I70" s="62">
        <f t="shared" si="0"/>
        <v>142.88999999999999</v>
      </c>
      <c r="L70" s="6">
        <v>142.88999999999999</v>
      </c>
      <c r="N70" s="80">
        <v>495116.7099999999</v>
      </c>
    </row>
    <row r="71" spans="1:14" s="1" customFormat="1" x14ac:dyDescent="0.25">
      <c r="A71" s="71" t="s">
        <v>191</v>
      </c>
      <c r="B71" s="71" t="s">
        <v>281</v>
      </c>
      <c r="C71" s="72" t="s">
        <v>91</v>
      </c>
      <c r="D71" s="71" t="s">
        <v>119</v>
      </c>
      <c r="E71" s="73">
        <v>499.95</v>
      </c>
      <c r="F71" s="74">
        <f t="shared" si="2"/>
        <v>117.24</v>
      </c>
      <c r="G71" s="74">
        <f t="shared" si="1"/>
        <v>58614.14</v>
      </c>
      <c r="H71" s="75"/>
      <c r="I71" s="62">
        <f t="shared" si="0"/>
        <v>117.24</v>
      </c>
      <c r="L71" s="6">
        <v>117.24</v>
      </c>
      <c r="N71" s="80">
        <v>58614.14</v>
      </c>
    </row>
    <row r="72" spans="1:14" s="1" customFormat="1" x14ac:dyDescent="0.25">
      <c r="A72" s="67" t="s">
        <v>192</v>
      </c>
      <c r="B72" s="67"/>
      <c r="C72" s="68" t="s">
        <v>341</v>
      </c>
      <c r="D72" s="67"/>
      <c r="E72" s="69"/>
      <c r="F72" s="70"/>
      <c r="G72" s="70">
        <f t="shared" si="1"/>
        <v>8095.47</v>
      </c>
      <c r="H72" s="63"/>
      <c r="I72" s="62">
        <f t="shared" si="0"/>
        <v>0</v>
      </c>
      <c r="L72" s="6">
        <v>0</v>
      </c>
      <c r="N72" s="80">
        <v>8095.47</v>
      </c>
    </row>
    <row r="73" spans="1:14" s="1" customFormat="1" x14ac:dyDescent="0.25">
      <c r="A73" s="71" t="s">
        <v>193</v>
      </c>
      <c r="B73" s="71" t="s">
        <v>282</v>
      </c>
      <c r="C73" s="72" t="s">
        <v>342</v>
      </c>
      <c r="D73" s="71" t="s">
        <v>120</v>
      </c>
      <c r="E73" s="73">
        <v>3</v>
      </c>
      <c r="F73" s="74">
        <f t="shared" si="2"/>
        <v>1828.29</v>
      </c>
      <c r="G73" s="74">
        <f t="shared" si="1"/>
        <v>5484.87</v>
      </c>
      <c r="H73" s="75"/>
      <c r="I73" s="62">
        <f t="shared" si="0"/>
        <v>1828.29</v>
      </c>
      <c r="L73" s="6">
        <v>1828.29</v>
      </c>
      <c r="N73" s="80">
        <v>5484.87</v>
      </c>
    </row>
    <row r="74" spans="1:14" s="1" customFormat="1" x14ac:dyDescent="0.25">
      <c r="A74" s="71" t="s">
        <v>194</v>
      </c>
      <c r="B74" s="71" t="s">
        <v>283</v>
      </c>
      <c r="C74" s="72" t="s">
        <v>92</v>
      </c>
      <c r="D74" s="71" t="s">
        <v>115</v>
      </c>
      <c r="E74" s="73">
        <v>1</v>
      </c>
      <c r="F74" s="74">
        <f t="shared" si="2"/>
        <v>2610.6</v>
      </c>
      <c r="G74" s="74">
        <f t="shared" si="1"/>
        <v>2610.6</v>
      </c>
      <c r="H74" s="75"/>
      <c r="I74" s="62">
        <f t="shared" si="0"/>
        <v>2610.6</v>
      </c>
      <c r="L74" s="6">
        <v>2610.6</v>
      </c>
      <c r="N74" s="80">
        <v>2610.6</v>
      </c>
    </row>
    <row r="75" spans="1:14" s="1" customFormat="1" x14ac:dyDescent="0.25">
      <c r="A75" s="67" t="s">
        <v>195</v>
      </c>
      <c r="B75" s="67"/>
      <c r="C75" s="68" t="s">
        <v>343</v>
      </c>
      <c r="D75" s="67"/>
      <c r="E75" s="69"/>
      <c r="F75" s="70"/>
      <c r="G75" s="70">
        <f t="shared" si="1"/>
        <v>155613.01</v>
      </c>
      <c r="H75" s="75"/>
      <c r="I75" s="62">
        <f t="shared" si="0"/>
        <v>0</v>
      </c>
      <c r="L75" s="6">
        <v>0</v>
      </c>
      <c r="N75" s="80">
        <v>155613.01</v>
      </c>
    </row>
    <row r="76" spans="1:14" s="1" customFormat="1" x14ac:dyDescent="0.25">
      <c r="A76" s="71" t="s">
        <v>196</v>
      </c>
      <c r="B76" s="71" t="s">
        <v>284</v>
      </c>
      <c r="C76" s="72" t="s">
        <v>95</v>
      </c>
      <c r="D76" s="71" t="s">
        <v>114</v>
      </c>
      <c r="E76" s="73">
        <v>11717.85</v>
      </c>
      <c r="F76" s="74">
        <f t="shared" ref="F76:F123" si="3">ROUND(I76,2)</f>
        <v>13.28</v>
      </c>
      <c r="G76" s="74">
        <f t="shared" ref="G76:G123" si="4">IF(I76=L76,N76,ROUND(F76*E76,2))</f>
        <v>155613.00999999998</v>
      </c>
      <c r="H76" s="75"/>
      <c r="I76" s="62">
        <f t="shared" si="0"/>
        <v>13.28</v>
      </c>
      <c r="L76" s="6">
        <v>13.28</v>
      </c>
      <c r="N76" s="80">
        <v>155613.00999999998</v>
      </c>
    </row>
    <row r="77" spans="1:14" s="1" customFormat="1" x14ac:dyDescent="0.25">
      <c r="A77" s="67" t="s">
        <v>197</v>
      </c>
      <c r="B77" s="67"/>
      <c r="C77" s="68" t="s">
        <v>344</v>
      </c>
      <c r="D77" s="67"/>
      <c r="E77" s="69"/>
      <c r="F77" s="70"/>
      <c r="G77" s="70">
        <f t="shared" si="4"/>
        <v>245629.8</v>
      </c>
      <c r="H77" s="75"/>
      <c r="I77" s="62">
        <f t="shared" si="0"/>
        <v>0</v>
      </c>
      <c r="L77" s="6">
        <v>0</v>
      </c>
      <c r="N77" s="80">
        <v>245629.8</v>
      </c>
    </row>
    <row r="78" spans="1:14" s="1" customFormat="1" x14ac:dyDescent="0.25">
      <c r="A78" s="71" t="s">
        <v>198</v>
      </c>
      <c r="B78" s="71" t="s">
        <v>285</v>
      </c>
      <c r="C78" s="72" t="s">
        <v>96</v>
      </c>
      <c r="D78" s="71" t="s">
        <v>119</v>
      </c>
      <c r="E78" s="73">
        <v>390</v>
      </c>
      <c r="F78" s="74">
        <f t="shared" si="3"/>
        <v>629.82000000000005</v>
      </c>
      <c r="G78" s="74">
        <f t="shared" si="4"/>
        <v>245629.8</v>
      </c>
      <c r="H78" s="75"/>
      <c r="I78" s="62">
        <f t="shared" si="0"/>
        <v>629.82000000000005</v>
      </c>
      <c r="L78" s="6">
        <v>629.82000000000005</v>
      </c>
      <c r="N78" s="80">
        <v>245629.8</v>
      </c>
    </row>
    <row r="79" spans="1:14" s="1" customFormat="1" x14ac:dyDescent="0.25">
      <c r="A79" s="67" t="s">
        <v>199</v>
      </c>
      <c r="B79" s="67"/>
      <c r="C79" s="68" t="s">
        <v>345</v>
      </c>
      <c r="D79" s="67"/>
      <c r="E79" s="69"/>
      <c r="F79" s="70"/>
      <c r="G79" s="70">
        <f t="shared" si="4"/>
        <v>745.19</v>
      </c>
      <c r="H79" s="75"/>
      <c r="I79" s="62">
        <f t="shared" si="0"/>
        <v>0</v>
      </c>
      <c r="L79" s="6">
        <v>0</v>
      </c>
      <c r="N79" s="80">
        <v>745.19</v>
      </c>
    </row>
    <row r="80" spans="1:14" s="1" customFormat="1" x14ac:dyDescent="0.25">
      <c r="A80" s="71" t="s">
        <v>200</v>
      </c>
      <c r="B80" s="71" t="s">
        <v>286</v>
      </c>
      <c r="C80" s="72" t="s">
        <v>97</v>
      </c>
      <c r="D80" s="71" t="s">
        <v>119</v>
      </c>
      <c r="E80" s="73">
        <v>653.66000000000008</v>
      </c>
      <c r="F80" s="74">
        <f t="shared" si="3"/>
        <v>1.1399999999999999</v>
      </c>
      <c r="G80" s="74">
        <f t="shared" si="4"/>
        <v>745.19</v>
      </c>
      <c r="H80" s="75"/>
      <c r="I80" s="62">
        <f t="shared" si="0"/>
        <v>1.1399999999999999</v>
      </c>
      <c r="L80" s="6">
        <v>1.1399999999999999</v>
      </c>
      <c r="N80" s="80">
        <v>745.19</v>
      </c>
    </row>
    <row r="81" spans="1:14" s="1" customFormat="1" x14ac:dyDescent="0.25">
      <c r="A81" s="67" t="s">
        <v>201</v>
      </c>
      <c r="B81" s="67"/>
      <c r="C81" s="68" t="s">
        <v>346</v>
      </c>
      <c r="D81" s="67"/>
      <c r="E81" s="69"/>
      <c r="F81" s="70"/>
      <c r="G81" s="70">
        <f t="shared" si="4"/>
        <v>147780.06</v>
      </c>
      <c r="H81" s="75"/>
      <c r="I81" s="62">
        <f t="shared" si="0"/>
        <v>0</v>
      </c>
      <c r="L81" s="6">
        <v>0</v>
      </c>
      <c r="N81" s="80">
        <v>147780.06</v>
      </c>
    </row>
    <row r="82" spans="1:14" s="1" customFormat="1" x14ac:dyDescent="0.25">
      <c r="A82" s="71" t="s">
        <v>202</v>
      </c>
      <c r="B82" s="71" t="s">
        <v>287</v>
      </c>
      <c r="C82" s="72" t="s">
        <v>99</v>
      </c>
      <c r="D82" s="71" t="s">
        <v>120</v>
      </c>
      <c r="E82" s="73">
        <v>23</v>
      </c>
      <c r="F82" s="74">
        <f t="shared" si="3"/>
        <v>6425.22</v>
      </c>
      <c r="G82" s="74">
        <f t="shared" si="4"/>
        <v>147780.06</v>
      </c>
      <c r="H82" s="75"/>
      <c r="I82" s="62">
        <f t="shared" si="0"/>
        <v>6425.22</v>
      </c>
      <c r="L82" s="6">
        <v>6425.22</v>
      </c>
      <c r="N82" s="80">
        <v>147780.06</v>
      </c>
    </row>
    <row r="83" spans="1:14" s="1" customFormat="1" x14ac:dyDescent="0.25">
      <c r="A83" s="67" t="s">
        <v>203</v>
      </c>
      <c r="B83" s="67"/>
      <c r="C83" s="68" t="s">
        <v>347</v>
      </c>
      <c r="D83" s="67"/>
      <c r="E83" s="69"/>
      <c r="F83" s="70"/>
      <c r="G83" s="70">
        <f t="shared" si="4"/>
        <v>294143.65000000002</v>
      </c>
      <c r="H83" s="75"/>
      <c r="I83" s="62">
        <f t="shared" si="0"/>
        <v>0</v>
      </c>
      <c r="L83" s="6">
        <v>0</v>
      </c>
      <c r="N83" s="80">
        <v>294143.65000000002</v>
      </c>
    </row>
    <row r="84" spans="1:14" s="1" customFormat="1" ht="22.5" x14ac:dyDescent="0.25">
      <c r="A84" s="71" t="s">
        <v>204</v>
      </c>
      <c r="B84" s="71" t="s">
        <v>288</v>
      </c>
      <c r="C84" s="72" t="s">
        <v>98</v>
      </c>
      <c r="D84" s="71" t="s">
        <v>116</v>
      </c>
      <c r="E84" s="73">
        <v>261.88</v>
      </c>
      <c r="F84" s="74">
        <f t="shared" si="3"/>
        <v>1123.2</v>
      </c>
      <c r="G84" s="74">
        <f t="shared" si="4"/>
        <v>294143.64999999997</v>
      </c>
      <c r="H84" s="75"/>
      <c r="I84" s="62">
        <f t="shared" si="0"/>
        <v>1123.2</v>
      </c>
      <c r="L84" s="6">
        <v>1123.2</v>
      </c>
      <c r="N84" s="80">
        <v>294143.64999999997</v>
      </c>
    </row>
    <row r="85" spans="1:14" s="1" customFormat="1" x14ac:dyDescent="0.25">
      <c r="A85" s="67" t="s">
        <v>205</v>
      </c>
      <c r="B85" s="67"/>
      <c r="C85" s="68" t="s">
        <v>100</v>
      </c>
      <c r="D85" s="67"/>
      <c r="E85" s="69"/>
      <c r="F85" s="70"/>
      <c r="G85" s="70">
        <f t="shared" si="4"/>
        <v>160885.35999999999</v>
      </c>
      <c r="H85" s="75"/>
      <c r="I85" s="62">
        <f t="shared" si="0"/>
        <v>0</v>
      </c>
      <c r="L85" s="6">
        <v>0</v>
      </c>
      <c r="N85" s="80">
        <v>160885.35999999999</v>
      </c>
    </row>
    <row r="86" spans="1:14" s="1" customFormat="1" x14ac:dyDescent="0.25">
      <c r="A86" s="71" t="s">
        <v>206</v>
      </c>
      <c r="B86" s="71" t="s">
        <v>289</v>
      </c>
      <c r="C86" s="72" t="s">
        <v>348</v>
      </c>
      <c r="D86" s="71" t="s">
        <v>115</v>
      </c>
      <c r="E86" s="73">
        <v>4</v>
      </c>
      <c r="F86" s="74">
        <f t="shared" si="3"/>
        <v>303.37</v>
      </c>
      <c r="G86" s="74">
        <f t="shared" si="4"/>
        <v>1213.48</v>
      </c>
      <c r="H86" s="75"/>
      <c r="I86" s="62">
        <f t="shared" si="0"/>
        <v>303.37</v>
      </c>
      <c r="L86" s="6">
        <v>303.37</v>
      </c>
      <c r="N86" s="80">
        <v>1213.48</v>
      </c>
    </row>
    <row r="87" spans="1:14" s="1" customFormat="1" x14ac:dyDescent="0.25">
      <c r="A87" s="71" t="s">
        <v>207</v>
      </c>
      <c r="B87" s="71" t="s">
        <v>290</v>
      </c>
      <c r="C87" s="72" t="s">
        <v>349</v>
      </c>
      <c r="D87" s="71" t="s">
        <v>115</v>
      </c>
      <c r="E87" s="73">
        <v>4</v>
      </c>
      <c r="F87" s="74">
        <f t="shared" si="3"/>
        <v>303.33</v>
      </c>
      <c r="G87" s="74">
        <f t="shared" si="4"/>
        <v>1213.32</v>
      </c>
      <c r="H87" s="75"/>
      <c r="I87" s="62">
        <f t="shared" si="0"/>
        <v>303.33</v>
      </c>
      <c r="L87" s="6">
        <v>303.33</v>
      </c>
      <c r="N87" s="80">
        <v>1213.32</v>
      </c>
    </row>
    <row r="88" spans="1:14" s="1" customFormat="1" ht="22.5" x14ac:dyDescent="0.25">
      <c r="A88" s="71" t="s">
        <v>208</v>
      </c>
      <c r="B88" s="71" t="s">
        <v>291</v>
      </c>
      <c r="C88" s="72" t="s">
        <v>101</v>
      </c>
      <c r="D88" s="71" t="s">
        <v>115</v>
      </c>
      <c r="E88" s="73">
        <v>5</v>
      </c>
      <c r="F88" s="74">
        <f t="shared" si="3"/>
        <v>303.39</v>
      </c>
      <c r="G88" s="74">
        <f t="shared" si="4"/>
        <v>1516.9499999999998</v>
      </c>
      <c r="H88" s="75"/>
      <c r="I88" s="62">
        <f t="shared" si="0"/>
        <v>303.39</v>
      </c>
      <c r="L88" s="6">
        <v>303.39</v>
      </c>
      <c r="N88" s="80">
        <v>1516.9499999999998</v>
      </c>
    </row>
    <row r="89" spans="1:14" s="1" customFormat="1" ht="22.5" x14ac:dyDescent="0.25">
      <c r="A89" s="71" t="s">
        <v>209</v>
      </c>
      <c r="B89" s="71" t="s">
        <v>292</v>
      </c>
      <c r="C89" s="72" t="s">
        <v>102</v>
      </c>
      <c r="D89" s="71" t="s">
        <v>115</v>
      </c>
      <c r="E89" s="73">
        <v>2</v>
      </c>
      <c r="F89" s="74">
        <f t="shared" si="3"/>
        <v>211.84</v>
      </c>
      <c r="G89" s="74">
        <f t="shared" si="4"/>
        <v>423.68</v>
      </c>
      <c r="H89" s="75"/>
      <c r="I89" s="62">
        <f t="shared" si="0"/>
        <v>211.84</v>
      </c>
      <c r="L89" s="6">
        <v>211.84</v>
      </c>
      <c r="N89" s="80">
        <v>423.68</v>
      </c>
    </row>
    <row r="90" spans="1:14" s="1" customFormat="1" x14ac:dyDescent="0.25">
      <c r="A90" s="71" t="s">
        <v>210</v>
      </c>
      <c r="B90" s="71" t="s">
        <v>293</v>
      </c>
      <c r="C90" s="72" t="s">
        <v>103</v>
      </c>
      <c r="D90" s="71" t="s">
        <v>115</v>
      </c>
      <c r="E90" s="73">
        <v>4</v>
      </c>
      <c r="F90" s="74">
        <f t="shared" si="3"/>
        <v>1075.69</v>
      </c>
      <c r="G90" s="74">
        <f t="shared" si="4"/>
        <v>4302.76</v>
      </c>
      <c r="H90" s="75"/>
      <c r="I90" s="62">
        <f t="shared" si="0"/>
        <v>1075.69</v>
      </c>
      <c r="L90" s="6">
        <v>1075.69</v>
      </c>
      <c r="N90" s="80">
        <v>4302.76</v>
      </c>
    </row>
    <row r="91" spans="1:14" s="1" customFormat="1" x14ac:dyDescent="0.25">
      <c r="A91" s="71" t="s">
        <v>211</v>
      </c>
      <c r="B91" s="71" t="s">
        <v>294</v>
      </c>
      <c r="C91" s="72" t="s">
        <v>350</v>
      </c>
      <c r="D91" s="71" t="s">
        <v>114</v>
      </c>
      <c r="E91" s="73">
        <v>0.4</v>
      </c>
      <c r="F91" s="74">
        <f t="shared" si="3"/>
        <v>555.6</v>
      </c>
      <c r="G91" s="74">
        <f t="shared" si="4"/>
        <v>222.24</v>
      </c>
      <c r="H91" s="75"/>
      <c r="I91" s="62">
        <f t="shared" si="0"/>
        <v>555.6</v>
      </c>
      <c r="L91" s="6">
        <v>555.6</v>
      </c>
      <c r="N91" s="80">
        <v>222.24</v>
      </c>
    </row>
    <row r="92" spans="1:14" s="1" customFormat="1" ht="22.5" x14ac:dyDescent="0.25">
      <c r="A92" s="71" t="s">
        <v>212</v>
      </c>
      <c r="B92" s="71" t="s">
        <v>295</v>
      </c>
      <c r="C92" s="72" t="s">
        <v>104</v>
      </c>
      <c r="D92" s="71" t="s">
        <v>115</v>
      </c>
      <c r="E92" s="73">
        <v>8</v>
      </c>
      <c r="F92" s="74">
        <f t="shared" si="3"/>
        <v>530.76</v>
      </c>
      <c r="G92" s="74">
        <f t="shared" si="4"/>
        <v>4246.08</v>
      </c>
      <c r="H92" s="75"/>
      <c r="I92" s="62">
        <f t="shared" si="0"/>
        <v>530.76</v>
      </c>
      <c r="L92" s="6">
        <v>530.76</v>
      </c>
      <c r="N92" s="80">
        <v>4246.08</v>
      </c>
    </row>
    <row r="93" spans="1:14" s="1" customFormat="1" x14ac:dyDescent="0.25">
      <c r="A93" s="71" t="s">
        <v>213</v>
      </c>
      <c r="B93" s="71" t="s">
        <v>296</v>
      </c>
      <c r="C93" s="72" t="s">
        <v>105</v>
      </c>
      <c r="D93" s="71" t="s">
        <v>115</v>
      </c>
      <c r="E93" s="73">
        <v>5</v>
      </c>
      <c r="F93" s="74">
        <f t="shared" si="3"/>
        <v>477.35</v>
      </c>
      <c r="G93" s="74">
        <f t="shared" si="4"/>
        <v>2386.75</v>
      </c>
      <c r="H93" s="75"/>
      <c r="I93" s="62">
        <f t="shared" si="0"/>
        <v>477.35</v>
      </c>
      <c r="L93" s="6">
        <v>477.35</v>
      </c>
      <c r="N93" s="80">
        <v>2386.75</v>
      </c>
    </row>
    <row r="94" spans="1:14" s="1" customFormat="1" x14ac:dyDescent="0.25">
      <c r="A94" s="71" t="s">
        <v>214</v>
      </c>
      <c r="B94" s="71" t="s">
        <v>297</v>
      </c>
      <c r="C94" s="72" t="s">
        <v>106</v>
      </c>
      <c r="D94" s="71" t="s">
        <v>115</v>
      </c>
      <c r="E94" s="73">
        <v>2</v>
      </c>
      <c r="F94" s="74">
        <f t="shared" si="3"/>
        <v>524.33000000000004</v>
      </c>
      <c r="G94" s="74">
        <f t="shared" si="4"/>
        <v>1048.6600000000001</v>
      </c>
      <c r="H94" s="75"/>
      <c r="I94" s="62">
        <f t="shared" si="0"/>
        <v>524.33000000000004</v>
      </c>
      <c r="L94" s="6">
        <v>524.33000000000004</v>
      </c>
      <c r="N94" s="80">
        <v>1048.6600000000001</v>
      </c>
    </row>
    <row r="95" spans="1:14" s="1" customFormat="1" x14ac:dyDescent="0.25">
      <c r="A95" s="71" t="s">
        <v>215</v>
      </c>
      <c r="B95" s="71" t="s">
        <v>298</v>
      </c>
      <c r="C95" s="72" t="s">
        <v>107</v>
      </c>
      <c r="D95" s="71" t="s">
        <v>115</v>
      </c>
      <c r="E95" s="73">
        <v>4</v>
      </c>
      <c r="F95" s="74">
        <f t="shared" si="3"/>
        <v>1307.54</v>
      </c>
      <c r="G95" s="74">
        <f t="shared" si="4"/>
        <v>5230.16</v>
      </c>
      <c r="H95" s="75"/>
      <c r="I95" s="62">
        <f t="shared" si="0"/>
        <v>1307.54</v>
      </c>
      <c r="L95" s="6">
        <v>1307.54</v>
      </c>
      <c r="N95" s="80">
        <v>5230.16</v>
      </c>
    </row>
    <row r="96" spans="1:14" s="1" customFormat="1" ht="22.5" x14ac:dyDescent="0.25">
      <c r="A96" s="71" t="s">
        <v>216</v>
      </c>
      <c r="B96" s="71" t="s">
        <v>299</v>
      </c>
      <c r="C96" s="72" t="s">
        <v>108</v>
      </c>
      <c r="D96" s="71" t="s">
        <v>114</v>
      </c>
      <c r="E96" s="73">
        <v>852.04000000000008</v>
      </c>
      <c r="F96" s="74">
        <f t="shared" si="3"/>
        <v>21.86</v>
      </c>
      <c r="G96" s="74">
        <f t="shared" si="4"/>
        <v>18625.580000000002</v>
      </c>
      <c r="H96" s="75"/>
      <c r="I96" s="62">
        <f t="shared" si="0"/>
        <v>21.86</v>
      </c>
      <c r="L96" s="6">
        <v>21.86</v>
      </c>
      <c r="N96" s="80">
        <v>18625.580000000002</v>
      </c>
    </row>
    <row r="97" spans="1:14" s="1" customFormat="1" x14ac:dyDescent="0.25">
      <c r="A97" s="71" t="s">
        <v>217</v>
      </c>
      <c r="B97" s="71" t="s">
        <v>300</v>
      </c>
      <c r="C97" s="72" t="s">
        <v>109</v>
      </c>
      <c r="D97" s="71" t="s">
        <v>114</v>
      </c>
      <c r="E97" s="73">
        <v>258.64</v>
      </c>
      <c r="F97" s="74">
        <f t="shared" si="3"/>
        <v>38.479999999999997</v>
      </c>
      <c r="G97" s="74">
        <f t="shared" si="4"/>
        <v>9952.4699999999993</v>
      </c>
      <c r="H97" s="75"/>
      <c r="I97" s="62">
        <f t="shared" si="0"/>
        <v>38.479999999999997</v>
      </c>
      <c r="L97" s="6">
        <v>38.479999999999997</v>
      </c>
      <c r="N97" s="80">
        <v>9952.4699999999993</v>
      </c>
    </row>
    <row r="98" spans="1:14" s="1" customFormat="1" x14ac:dyDescent="0.25">
      <c r="A98" s="71" t="s">
        <v>218</v>
      </c>
      <c r="B98" s="71" t="s">
        <v>301</v>
      </c>
      <c r="C98" s="72" t="s">
        <v>110</v>
      </c>
      <c r="D98" s="71" t="s">
        <v>115</v>
      </c>
      <c r="E98" s="73">
        <v>1671</v>
      </c>
      <c r="F98" s="74">
        <f t="shared" si="3"/>
        <v>66.13</v>
      </c>
      <c r="G98" s="74">
        <f t="shared" si="4"/>
        <v>110503.23000000001</v>
      </c>
      <c r="H98" s="75"/>
      <c r="I98" s="62">
        <f t="shared" si="0"/>
        <v>66.13</v>
      </c>
      <c r="L98" s="6">
        <v>66.13</v>
      </c>
      <c r="N98" s="80">
        <v>110503.23000000001</v>
      </c>
    </row>
    <row r="99" spans="1:14" s="1" customFormat="1" x14ac:dyDescent="0.25">
      <c r="A99" s="67" t="s">
        <v>219</v>
      </c>
      <c r="B99" s="67"/>
      <c r="C99" s="68" t="s">
        <v>111</v>
      </c>
      <c r="D99" s="67"/>
      <c r="E99" s="69"/>
      <c r="F99" s="70"/>
      <c r="G99" s="70">
        <f t="shared" si="4"/>
        <v>437372.05</v>
      </c>
      <c r="H99" s="75"/>
      <c r="I99" s="62">
        <f t="shared" si="0"/>
        <v>0</v>
      </c>
      <c r="L99" s="6">
        <v>0</v>
      </c>
      <c r="N99" s="80">
        <v>437372.05</v>
      </c>
    </row>
    <row r="100" spans="1:14" s="1" customFormat="1" ht="22.5" x14ac:dyDescent="0.25">
      <c r="A100" s="71" t="s">
        <v>220</v>
      </c>
      <c r="B100" s="71" t="s">
        <v>302</v>
      </c>
      <c r="C100" s="72" t="s">
        <v>351</v>
      </c>
      <c r="D100" s="71" t="s">
        <v>374</v>
      </c>
      <c r="E100" s="73">
        <v>57</v>
      </c>
      <c r="F100" s="74">
        <f t="shared" si="3"/>
        <v>2951.02</v>
      </c>
      <c r="G100" s="74">
        <f t="shared" si="4"/>
        <v>168208.13999999998</v>
      </c>
      <c r="H100" s="75"/>
      <c r="I100" s="62">
        <f t="shared" si="0"/>
        <v>2951.02</v>
      </c>
      <c r="L100" s="6">
        <v>2951.02</v>
      </c>
      <c r="N100" s="80">
        <v>168208.13999999998</v>
      </c>
    </row>
    <row r="101" spans="1:14" s="1" customFormat="1" ht="22.5" x14ac:dyDescent="0.25">
      <c r="A101" s="71" t="s">
        <v>221</v>
      </c>
      <c r="B101" s="71" t="s">
        <v>303</v>
      </c>
      <c r="C101" s="72" t="s">
        <v>352</v>
      </c>
      <c r="D101" s="71" t="s">
        <v>374</v>
      </c>
      <c r="E101" s="73">
        <v>57</v>
      </c>
      <c r="F101" s="74">
        <f t="shared" si="3"/>
        <v>808.57</v>
      </c>
      <c r="G101" s="74">
        <f t="shared" si="4"/>
        <v>46088.489999999991</v>
      </c>
      <c r="H101" s="75"/>
      <c r="I101" s="62">
        <f t="shared" si="0"/>
        <v>808.57</v>
      </c>
      <c r="L101" s="6">
        <v>808.57</v>
      </c>
      <c r="N101" s="80">
        <v>46088.489999999991</v>
      </c>
    </row>
    <row r="102" spans="1:14" s="1" customFormat="1" ht="22.5" x14ac:dyDescent="0.25">
      <c r="A102" s="71" t="s">
        <v>222</v>
      </c>
      <c r="B102" s="71" t="s">
        <v>304</v>
      </c>
      <c r="C102" s="72" t="s">
        <v>353</v>
      </c>
      <c r="D102" s="71" t="s">
        <v>375</v>
      </c>
      <c r="E102" s="73">
        <v>5.6999999999999993</v>
      </c>
      <c r="F102" s="74">
        <f t="shared" si="3"/>
        <v>142.13999999999999</v>
      </c>
      <c r="G102" s="74">
        <f t="shared" si="4"/>
        <v>810.18000000000006</v>
      </c>
      <c r="H102" s="75"/>
      <c r="I102" s="62">
        <f t="shared" si="0"/>
        <v>142.13999999999999</v>
      </c>
      <c r="L102" s="6">
        <v>142.13999999999999</v>
      </c>
      <c r="N102" s="80">
        <v>810.18000000000006</v>
      </c>
    </row>
    <row r="103" spans="1:14" s="1" customFormat="1" ht="22.5" x14ac:dyDescent="0.25">
      <c r="A103" s="71" t="s">
        <v>223</v>
      </c>
      <c r="B103" s="71" t="s">
        <v>305</v>
      </c>
      <c r="C103" s="72" t="s">
        <v>354</v>
      </c>
      <c r="D103" s="71" t="s">
        <v>376</v>
      </c>
      <c r="E103" s="73">
        <v>206.90999999999997</v>
      </c>
      <c r="F103" s="74">
        <f t="shared" si="3"/>
        <v>17.23</v>
      </c>
      <c r="G103" s="74">
        <f t="shared" si="4"/>
        <v>3565.0399999999995</v>
      </c>
      <c r="H103" s="75"/>
      <c r="I103" s="62">
        <f t="shared" si="0"/>
        <v>17.23</v>
      </c>
      <c r="L103" s="6">
        <v>17.23</v>
      </c>
      <c r="N103" s="80">
        <v>3565.0399999999995</v>
      </c>
    </row>
    <row r="104" spans="1:14" s="1" customFormat="1" ht="22.5" x14ac:dyDescent="0.25">
      <c r="A104" s="71" t="s">
        <v>224</v>
      </c>
      <c r="B104" s="71" t="s">
        <v>306</v>
      </c>
      <c r="C104" s="72" t="s">
        <v>355</v>
      </c>
      <c r="D104" s="71" t="s">
        <v>377</v>
      </c>
      <c r="E104" s="73">
        <v>85.500000000000014</v>
      </c>
      <c r="F104" s="74">
        <f t="shared" si="3"/>
        <v>72.66</v>
      </c>
      <c r="G104" s="74">
        <f t="shared" si="4"/>
        <v>6212.44</v>
      </c>
      <c r="H104" s="75"/>
      <c r="I104" s="62">
        <f t="shared" si="0"/>
        <v>72.66</v>
      </c>
      <c r="L104" s="6">
        <v>72.66</v>
      </c>
      <c r="N104" s="80">
        <v>6212.44</v>
      </c>
    </row>
    <row r="105" spans="1:14" s="1" customFormat="1" x14ac:dyDescent="0.25">
      <c r="A105" s="71" t="s">
        <v>225</v>
      </c>
      <c r="B105" s="71" t="s">
        <v>307</v>
      </c>
      <c r="C105" s="72" t="s">
        <v>356</v>
      </c>
      <c r="D105" s="71" t="s">
        <v>376</v>
      </c>
      <c r="E105" s="73">
        <v>139.07999999999998</v>
      </c>
      <c r="F105" s="74">
        <f t="shared" si="3"/>
        <v>23.05</v>
      </c>
      <c r="G105" s="74">
        <f t="shared" si="4"/>
        <v>3205.79</v>
      </c>
      <c r="H105" s="75"/>
      <c r="I105" s="62">
        <f t="shared" si="0"/>
        <v>23.05</v>
      </c>
      <c r="L105" s="6">
        <v>23.05</v>
      </c>
      <c r="N105" s="80">
        <v>3205.79</v>
      </c>
    </row>
    <row r="106" spans="1:14" s="1" customFormat="1" ht="22.5" x14ac:dyDescent="0.25">
      <c r="A106" s="71" t="s">
        <v>226</v>
      </c>
      <c r="B106" s="71" t="s">
        <v>308</v>
      </c>
      <c r="C106" s="72" t="s">
        <v>357</v>
      </c>
      <c r="D106" s="71" t="s">
        <v>375</v>
      </c>
      <c r="E106" s="73">
        <v>5.6</v>
      </c>
      <c r="F106" s="74">
        <f t="shared" si="3"/>
        <v>872.23</v>
      </c>
      <c r="G106" s="74">
        <f t="shared" si="4"/>
        <v>4884.4900000000007</v>
      </c>
      <c r="H106" s="75"/>
      <c r="I106" s="62">
        <f t="shared" si="0"/>
        <v>872.23</v>
      </c>
      <c r="L106" s="6">
        <v>872.23</v>
      </c>
      <c r="N106" s="80">
        <v>4884.4900000000007</v>
      </c>
    </row>
    <row r="107" spans="1:14" s="1" customFormat="1" ht="22.5" x14ac:dyDescent="0.25">
      <c r="A107" s="71" t="s">
        <v>227</v>
      </c>
      <c r="B107" s="71" t="s">
        <v>309</v>
      </c>
      <c r="C107" s="72" t="s">
        <v>358</v>
      </c>
      <c r="D107" s="71" t="s">
        <v>374</v>
      </c>
      <c r="E107" s="73">
        <v>57</v>
      </c>
      <c r="F107" s="74">
        <f t="shared" si="3"/>
        <v>227.27</v>
      </c>
      <c r="G107" s="74">
        <f t="shared" si="4"/>
        <v>12954.389999999996</v>
      </c>
      <c r="H107" s="75"/>
      <c r="I107" s="62">
        <f t="shared" si="0"/>
        <v>227.27</v>
      </c>
      <c r="L107" s="6">
        <v>227.27</v>
      </c>
      <c r="N107" s="80">
        <v>12954.389999999996</v>
      </c>
    </row>
    <row r="108" spans="1:14" s="1" customFormat="1" ht="22.5" x14ac:dyDescent="0.25">
      <c r="A108" s="71" t="s">
        <v>228</v>
      </c>
      <c r="B108" s="71" t="s">
        <v>310</v>
      </c>
      <c r="C108" s="72" t="s">
        <v>359</v>
      </c>
      <c r="D108" s="71" t="s">
        <v>377</v>
      </c>
      <c r="E108" s="73">
        <v>1719.4</v>
      </c>
      <c r="F108" s="74">
        <f t="shared" si="3"/>
        <v>13.12</v>
      </c>
      <c r="G108" s="74">
        <f t="shared" si="4"/>
        <v>22558.560000000001</v>
      </c>
      <c r="H108" s="75"/>
      <c r="I108" s="62">
        <f t="shared" si="0"/>
        <v>13.12</v>
      </c>
      <c r="L108" s="6">
        <v>13.12</v>
      </c>
      <c r="N108" s="80">
        <v>22558.560000000001</v>
      </c>
    </row>
    <row r="109" spans="1:14" s="1" customFormat="1" x14ac:dyDescent="0.25">
      <c r="A109" s="71" t="s">
        <v>229</v>
      </c>
      <c r="B109" s="71" t="s">
        <v>311</v>
      </c>
      <c r="C109" s="72" t="s">
        <v>360</v>
      </c>
      <c r="D109" s="71" t="s">
        <v>374</v>
      </c>
      <c r="E109" s="73">
        <v>14.000000000000002</v>
      </c>
      <c r="F109" s="74">
        <f t="shared" si="3"/>
        <v>158.11000000000001</v>
      </c>
      <c r="G109" s="74">
        <f t="shared" si="4"/>
        <v>2213.54</v>
      </c>
      <c r="H109" s="75"/>
      <c r="I109" s="62">
        <f t="shared" si="0"/>
        <v>158.11000000000001</v>
      </c>
      <c r="L109" s="6">
        <v>158.11000000000001</v>
      </c>
      <c r="N109" s="80">
        <v>2213.54</v>
      </c>
    </row>
    <row r="110" spans="1:14" s="1" customFormat="1" ht="22.5" x14ac:dyDescent="0.25">
      <c r="A110" s="71" t="s">
        <v>230</v>
      </c>
      <c r="B110" s="71" t="s">
        <v>312</v>
      </c>
      <c r="C110" s="72" t="s">
        <v>361</v>
      </c>
      <c r="D110" s="71" t="s">
        <v>374</v>
      </c>
      <c r="E110" s="73">
        <v>5</v>
      </c>
      <c r="F110" s="74">
        <f t="shared" si="3"/>
        <v>2174.66</v>
      </c>
      <c r="G110" s="74">
        <f t="shared" si="4"/>
        <v>10873.3</v>
      </c>
      <c r="H110" s="75"/>
      <c r="I110" s="62">
        <f t="shared" si="0"/>
        <v>2174.66</v>
      </c>
      <c r="L110" s="6">
        <v>2174.66</v>
      </c>
      <c r="N110" s="80">
        <v>10873.3</v>
      </c>
    </row>
    <row r="111" spans="1:14" s="1" customFormat="1" ht="22.5" x14ac:dyDescent="0.25">
      <c r="A111" s="71" t="s">
        <v>231</v>
      </c>
      <c r="B111" s="71" t="s">
        <v>313</v>
      </c>
      <c r="C111" s="72" t="s">
        <v>362</v>
      </c>
      <c r="D111" s="71" t="s">
        <v>378</v>
      </c>
      <c r="E111" s="73">
        <v>5</v>
      </c>
      <c r="F111" s="74">
        <f t="shared" si="3"/>
        <v>2326.4699999999998</v>
      </c>
      <c r="G111" s="74">
        <f t="shared" si="4"/>
        <v>11632.349999999999</v>
      </c>
      <c r="H111" s="75"/>
      <c r="I111" s="62">
        <f t="shared" si="0"/>
        <v>2326.4699999999998</v>
      </c>
      <c r="L111" s="6">
        <v>2326.4699999999998</v>
      </c>
      <c r="N111" s="80">
        <v>11632.349999999999</v>
      </c>
    </row>
    <row r="112" spans="1:14" s="1" customFormat="1" ht="22.5" x14ac:dyDescent="0.25">
      <c r="A112" s="71" t="s">
        <v>232</v>
      </c>
      <c r="B112" s="71" t="s">
        <v>314</v>
      </c>
      <c r="C112" s="72" t="s">
        <v>363</v>
      </c>
      <c r="D112" s="71" t="s">
        <v>377</v>
      </c>
      <c r="E112" s="73">
        <v>4575</v>
      </c>
      <c r="F112" s="74">
        <f t="shared" si="3"/>
        <v>20.09</v>
      </c>
      <c r="G112" s="74">
        <f t="shared" si="4"/>
        <v>91911.73</v>
      </c>
      <c r="H112" s="75"/>
      <c r="I112" s="62">
        <f t="shared" si="0"/>
        <v>20.09</v>
      </c>
      <c r="L112" s="6">
        <v>20.09</v>
      </c>
      <c r="N112" s="80">
        <v>91911.73</v>
      </c>
    </row>
    <row r="113" spans="1:14" s="1" customFormat="1" ht="22.5" x14ac:dyDescent="0.25">
      <c r="A113" s="71" t="s">
        <v>233</v>
      </c>
      <c r="B113" s="71" t="s">
        <v>315</v>
      </c>
      <c r="C113" s="72" t="s">
        <v>364</v>
      </c>
      <c r="D113" s="71" t="s">
        <v>377</v>
      </c>
      <c r="E113" s="73">
        <v>1795.5</v>
      </c>
      <c r="F113" s="74">
        <f t="shared" si="3"/>
        <v>6.15</v>
      </c>
      <c r="G113" s="74">
        <f t="shared" si="4"/>
        <v>11042.32</v>
      </c>
      <c r="H113" s="75"/>
      <c r="I113" s="62">
        <f t="shared" si="0"/>
        <v>6.15</v>
      </c>
      <c r="L113" s="6">
        <v>6.15</v>
      </c>
      <c r="N113" s="80">
        <v>11042.32</v>
      </c>
    </row>
    <row r="114" spans="1:14" s="1" customFormat="1" ht="22.5" x14ac:dyDescent="0.25">
      <c r="A114" s="71" t="s">
        <v>234</v>
      </c>
      <c r="B114" s="71" t="s">
        <v>316</v>
      </c>
      <c r="C114" s="72" t="s">
        <v>365</v>
      </c>
      <c r="D114" s="71" t="s">
        <v>374</v>
      </c>
      <c r="E114" s="73">
        <v>57</v>
      </c>
      <c r="F114" s="74">
        <f t="shared" si="3"/>
        <v>46.37</v>
      </c>
      <c r="G114" s="74">
        <f t="shared" si="4"/>
        <v>2643.0900000000006</v>
      </c>
      <c r="H114" s="75"/>
      <c r="I114" s="62">
        <f t="shared" si="0"/>
        <v>46.37</v>
      </c>
      <c r="L114" s="6">
        <v>46.37</v>
      </c>
      <c r="N114" s="80">
        <v>2643.0900000000006</v>
      </c>
    </row>
    <row r="115" spans="1:14" s="1" customFormat="1" ht="33.75" x14ac:dyDescent="0.25">
      <c r="A115" s="71" t="s">
        <v>235</v>
      </c>
      <c r="B115" s="71" t="s">
        <v>317</v>
      </c>
      <c r="C115" s="72" t="s">
        <v>366</v>
      </c>
      <c r="D115" s="71" t="s">
        <v>375</v>
      </c>
      <c r="E115" s="73">
        <v>360.2399999999999</v>
      </c>
      <c r="F115" s="74">
        <f t="shared" si="3"/>
        <v>8.06</v>
      </c>
      <c r="G115" s="74">
        <f t="shared" si="4"/>
        <v>2903.49</v>
      </c>
      <c r="H115" s="75"/>
      <c r="I115" s="62">
        <f t="shared" si="0"/>
        <v>8.06</v>
      </c>
      <c r="L115" s="6">
        <v>8.06</v>
      </c>
      <c r="N115" s="80">
        <v>2903.49</v>
      </c>
    </row>
    <row r="116" spans="1:14" s="1" customFormat="1" ht="33.75" x14ac:dyDescent="0.25">
      <c r="A116" s="71" t="s">
        <v>236</v>
      </c>
      <c r="B116" s="71" t="s">
        <v>318</v>
      </c>
      <c r="C116" s="72" t="s">
        <v>367</v>
      </c>
      <c r="D116" s="71" t="s">
        <v>375</v>
      </c>
      <c r="E116" s="73">
        <v>225.14999999999995</v>
      </c>
      <c r="F116" s="74">
        <f t="shared" si="3"/>
        <v>26.35</v>
      </c>
      <c r="G116" s="74">
        <f t="shared" si="4"/>
        <v>5932.7400000000016</v>
      </c>
      <c r="H116" s="75"/>
      <c r="I116" s="62">
        <f t="shared" si="0"/>
        <v>26.35</v>
      </c>
      <c r="L116" s="6">
        <v>26.35</v>
      </c>
      <c r="N116" s="80">
        <v>5932.7400000000016</v>
      </c>
    </row>
    <row r="117" spans="1:14" s="1" customFormat="1" x14ac:dyDescent="0.25">
      <c r="A117" s="71" t="s">
        <v>237</v>
      </c>
      <c r="B117" s="71" t="s">
        <v>319</v>
      </c>
      <c r="C117" s="72" t="s">
        <v>368</v>
      </c>
      <c r="D117" s="71" t="s">
        <v>375</v>
      </c>
      <c r="E117" s="73">
        <v>135.09</v>
      </c>
      <c r="F117" s="74">
        <f t="shared" si="3"/>
        <v>220.09</v>
      </c>
      <c r="G117" s="74">
        <f t="shared" si="4"/>
        <v>29731.969999999998</v>
      </c>
      <c r="H117" s="75"/>
      <c r="I117" s="62">
        <f t="shared" si="0"/>
        <v>220.09</v>
      </c>
      <c r="L117" s="6">
        <v>220.09</v>
      </c>
      <c r="N117" s="80">
        <v>29731.969999999998</v>
      </c>
    </row>
    <row r="118" spans="1:14" s="1" customFormat="1" x14ac:dyDescent="0.25">
      <c r="A118" s="67" t="s">
        <v>238</v>
      </c>
      <c r="B118" s="67"/>
      <c r="C118" s="68" t="s">
        <v>369</v>
      </c>
      <c r="D118" s="67"/>
      <c r="E118" s="69"/>
      <c r="F118" s="70"/>
      <c r="G118" s="70">
        <f t="shared" si="4"/>
        <v>192543.2</v>
      </c>
      <c r="H118" s="75"/>
      <c r="I118" s="62">
        <f t="shared" si="0"/>
        <v>0</v>
      </c>
      <c r="L118" s="6">
        <v>0</v>
      </c>
      <c r="N118" s="80">
        <v>192543.2</v>
      </c>
    </row>
    <row r="119" spans="1:14" s="1" customFormat="1" x14ac:dyDescent="0.25">
      <c r="A119" s="71" t="s">
        <v>239</v>
      </c>
      <c r="B119" s="71" t="s">
        <v>125</v>
      </c>
      <c r="C119" s="72" t="s">
        <v>126</v>
      </c>
      <c r="D119" s="71" t="s">
        <v>115</v>
      </c>
      <c r="E119" s="73">
        <v>1</v>
      </c>
      <c r="F119" s="74">
        <f t="shared" si="3"/>
        <v>192543.2</v>
      </c>
      <c r="G119" s="74">
        <f t="shared" si="4"/>
        <v>192543.2</v>
      </c>
      <c r="H119" s="75"/>
      <c r="I119" s="62">
        <f t="shared" si="0"/>
        <v>192543.2</v>
      </c>
      <c r="L119" s="6">
        <v>192543.2</v>
      </c>
      <c r="N119" s="80">
        <v>192543.2</v>
      </c>
    </row>
    <row r="120" spans="1:14" s="1" customFormat="1" x14ac:dyDescent="0.25">
      <c r="A120" s="67" t="s">
        <v>240</v>
      </c>
      <c r="B120" s="67"/>
      <c r="C120" s="68" t="s">
        <v>370</v>
      </c>
      <c r="D120" s="67"/>
      <c r="E120" s="69"/>
      <c r="F120" s="70"/>
      <c r="G120" s="70">
        <f t="shared" si="4"/>
        <v>122610.62</v>
      </c>
      <c r="H120" s="75"/>
      <c r="I120" s="62">
        <f t="shared" si="0"/>
        <v>0</v>
      </c>
      <c r="L120" s="6">
        <v>0</v>
      </c>
      <c r="N120" s="80">
        <v>122610.62</v>
      </c>
    </row>
    <row r="121" spans="1:14" s="1" customFormat="1" x14ac:dyDescent="0.25">
      <c r="A121" s="71" t="s">
        <v>241</v>
      </c>
      <c r="B121" s="71" t="s">
        <v>320</v>
      </c>
      <c r="C121" s="72" t="s">
        <v>127</v>
      </c>
      <c r="D121" s="71" t="s">
        <v>115</v>
      </c>
      <c r="E121" s="73">
        <v>1</v>
      </c>
      <c r="F121" s="74">
        <f t="shared" si="3"/>
        <v>122610.62</v>
      </c>
      <c r="G121" s="74">
        <f t="shared" si="4"/>
        <v>122610.62</v>
      </c>
      <c r="H121" s="75"/>
      <c r="I121" s="62">
        <f t="shared" si="0"/>
        <v>122610.62</v>
      </c>
      <c r="L121" s="6">
        <v>122610.62</v>
      </c>
      <c r="N121" s="80">
        <v>122610.62</v>
      </c>
    </row>
    <row r="122" spans="1:14" s="1" customFormat="1" x14ac:dyDescent="0.25">
      <c r="A122" s="67" t="s">
        <v>242</v>
      </c>
      <c r="B122" s="67"/>
      <c r="C122" s="68" t="s">
        <v>371</v>
      </c>
      <c r="D122" s="67"/>
      <c r="E122" s="69"/>
      <c r="F122" s="70"/>
      <c r="G122" s="70">
        <f t="shared" si="4"/>
        <v>122610.62</v>
      </c>
      <c r="H122" s="75"/>
      <c r="I122" s="62">
        <f t="shared" si="0"/>
        <v>0</v>
      </c>
      <c r="L122" s="6">
        <v>0</v>
      </c>
      <c r="N122" s="80">
        <v>122610.62</v>
      </c>
    </row>
    <row r="123" spans="1:14" s="1" customFormat="1" x14ac:dyDescent="0.25">
      <c r="A123" s="71" t="s">
        <v>243</v>
      </c>
      <c r="B123" s="71" t="s">
        <v>321</v>
      </c>
      <c r="C123" s="72" t="s">
        <v>128</v>
      </c>
      <c r="D123" s="71" t="s">
        <v>115</v>
      </c>
      <c r="E123" s="73">
        <v>1</v>
      </c>
      <c r="F123" s="74">
        <f t="shared" si="3"/>
        <v>122610.62</v>
      </c>
      <c r="G123" s="74">
        <f t="shared" si="4"/>
        <v>122610.62</v>
      </c>
      <c r="H123" s="75"/>
      <c r="I123" s="62">
        <f t="shared" si="0"/>
        <v>122610.62</v>
      </c>
      <c r="L123" s="6">
        <v>122610.62</v>
      </c>
      <c r="N123" s="80">
        <v>122610.62</v>
      </c>
    </row>
    <row r="124" spans="1:14" s="1" customFormat="1" x14ac:dyDescent="0.25">
      <c r="A124" s="94"/>
      <c r="B124" s="94"/>
      <c r="C124" s="94"/>
      <c r="D124" s="94"/>
      <c r="E124" s="94"/>
      <c r="F124" s="94"/>
      <c r="G124" s="95"/>
      <c r="I124" s="47"/>
      <c r="L124" s="8"/>
    </row>
    <row r="125" spans="1:14" x14ac:dyDescent="0.25">
      <c r="A125" s="81" t="s">
        <v>4</v>
      </c>
      <c r="B125" s="81"/>
      <c r="C125" s="81"/>
      <c r="D125" s="81"/>
      <c r="E125" s="81"/>
      <c r="F125" s="81"/>
      <c r="G125" s="5">
        <f>SUM(G11:G123)-G122-G120-G118-G99-G85-G83-G81-G79-G77-G75-G72-G69-G67-G58-G51-G47-G43-G39-G34-G21-G16-G14-G12</f>
        <v>9438309.2299999949</v>
      </c>
      <c r="H125" s="64"/>
    </row>
    <row r="126" spans="1:14" x14ac:dyDescent="0.25">
      <c r="A126" s="22"/>
      <c r="B126" s="22"/>
      <c r="C126" s="22"/>
      <c r="D126" s="22"/>
      <c r="E126" s="65" t="s">
        <v>52</v>
      </c>
      <c r="F126" s="22"/>
      <c r="G126" s="22"/>
    </row>
    <row r="127" spans="1:14" ht="15.75" x14ac:dyDescent="0.25">
      <c r="A127" s="83" t="s">
        <v>423</v>
      </c>
      <c r="B127" s="83"/>
      <c r="C127" s="83"/>
      <c r="D127" s="83"/>
      <c r="E127" s="83"/>
      <c r="F127" s="83"/>
      <c r="G127" s="83"/>
    </row>
    <row r="128" spans="1:14" x14ac:dyDescent="0.25">
      <c r="A128" s="22"/>
      <c r="B128" s="22"/>
      <c r="C128" s="22"/>
      <c r="D128" s="22"/>
      <c r="E128" s="22"/>
      <c r="F128" s="22"/>
      <c r="G128" s="22"/>
    </row>
    <row r="129" spans="1:7" x14ac:dyDescent="0.25">
      <c r="A129" s="22"/>
      <c r="B129" s="22"/>
      <c r="C129" s="22"/>
      <c r="D129" s="22"/>
      <c r="E129" s="22"/>
      <c r="F129" s="22"/>
      <c r="G129" s="22"/>
    </row>
    <row r="130" spans="1:7" x14ac:dyDescent="0.25">
      <c r="A130" s="22"/>
      <c r="B130" s="22"/>
      <c r="C130" s="22"/>
      <c r="D130" s="22"/>
      <c r="E130" s="22"/>
      <c r="F130" s="22"/>
      <c r="G130" s="22"/>
    </row>
    <row r="131" spans="1:7" x14ac:dyDescent="0.25">
      <c r="A131" s="22"/>
      <c r="B131" s="22"/>
      <c r="C131" s="22"/>
      <c r="D131" s="22"/>
      <c r="E131" s="22"/>
      <c r="F131" s="22"/>
      <c r="G131" s="22"/>
    </row>
    <row r="132" spans="1:7" x14ac:dyDescent="0.25">
      <c r="A132" s="22"/>
      <c r="B132" s="22"/>
      <c r="C132" s="22"/>
      <c r="D132" s="22"/>
      <c r="E132" s="22"/>
      <c r="F132" s="22"/>
      <c r="G132" s="22"/>
    </row>
    <row r="133" spans="1:7" x14ac:dyDescent="0.25">
      <c r="A133" s="22"/>
      <c r="B133" s="22"/>
      <c r="C133" s="22"/>
      <c r="D133" s="22"/>
      <c r="E133" s="22"/>
      <c r="F133" s="22"/>
      <c r="G133" s="22"/>
    </row>
    <row r="134" spans="1:7" x14ac:dyDescent="0.25">
      <c r="A134" s="22"/>
      <c r="B134" s="22"/>
      <c r="C134" s="22"/>
      <c r="D134" s="22"/>
      <c r="E134" s="22"/>
      <c r="F134" s="22"/>
      <c r="G134" s="22"/>
    </row>
  </sheetData>
  <sheetProtection algorithmName="SHA-512" hashValue="vWbBI7xvX89DeIeBFMq5tjw2qE+GcoEWXKDLW8k9r2ooeHG3pIbIqql2EgehD59FmTyq5XkM256Z8DrPk2uzhg==" saltValue="skKAMPy/WKohXrscxOE4BQ==" spinCount="100000" sheet="1" selectLockedCells="1"/>
  <mergeCells count="8">
    <mergeCell ref="A125:F125"/>
    <mergeCell ref="A7:G7"/>
    <mergeCell ref="A127:G127"/>
    <mergeCell ref="K1:K9"/>
    <mergeCell ref="I2:I6"/>
    <mergeCell ref="A8:G8"/>
    <mergeCell ref="A9:G9"/>
    <mergeCell ref="A124:G124"/>
  </mergeCells>
  <phoneticPr fontId="24" type="noConversion"/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24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60"/>
  <sheetViews>
    <sheetView topLeftCell="A13" workbookViewId="0">
      <selection activeCell="A47" sqref="A47"/>
    </sheetView>
  </sheetViews>
  <sheetFormatPr defaultRowHeight="15" x14ac:dyDescent="0.25"/>
  <cols>
    <col min="1" max="1" width="7.42578125" customWidth="1"/>
    <col min="2" max="2" width="36.85546875" bestFit="1" customWidth="1"/>
    <col min="3" max="3" width="11.42578125" bestFit="1" customWidth="1"/>
    <col min="4" max="4" width="7.28515625" customWidth="1"/>
    <col min="5" max="5" width="7" bestFit="1" customWidth="1"/>
    <col min="6" max="6" width="6.140625" bestFit="1" customWidth="1"/>
    <col min="7" max="7" width="7" bestFit="1" customWidth="1"/>
    <col min="8" max="8" width="6.140625" bestFit="1" customWidth="1"/>
    <col min="9" max="9" width="7" bestFit="1" customWidth="1"/>
    <col min="10" max="10" width="6.140625" bestFit="1" customWidth="1"/>
    <col min="11" max="11" width="7" bestFit="1" customWidth="1"/>
    <col min="12" max="12" width="6.140625" bestFit="1" customWidth="1"/>
    <col min="13" max="13" width="7" bestFit="1" customWidth="1"/>
    <col min="14" max="14" width="6.140625" bestFit="1" customWidth="1"/>
    <col min="15" max="15" width="7" bestFit="1" customWidth="1"/>
    <col min="16" max="16" width="6.140625" bestFit="1" customWidth="1"/>
    <col min="17" max="17" width="7" customWidth="1"/>
    <col min="18" max="18" width="6.140625" bestFit="1" customWidth="1"/>
    <col min="19" max="19" width="7" customWidth="1"/>
    <col min="20" max="20" width="6.140625" bestFit="1" customWidth="1"/>
    <col min="21" max="21" width="7" customWidth="1"/>
    <col min="22" max="22" width="6.140625" bestFit="1" customWidth="1"/>
    <col min="23" max="23" width="7" customWidth="1"/>
    <col min="24" max="24" width="6.140625" bestFit="1" customWidth="1"/>
    <col min="25" max="25" width="7" customWidth="1"/>
    <col min="26" max="26" width="6.140625" bestFit="1" customWidth="1"/>
    <col min="27" max="29" width="7" customWidth="1"/>
    <col min="31" max="31" width="53.5703125" bestFit="1" customWidth="1"/>
  </cols>
  <sheetData>
    <row r="1" spans="1:29" x14ac:dyDescent="0.25">
      <c r="A1" s="135"/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</row>
    <row r="2" spans="1:29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</row>
    <row r="3" spans="1:29" x14ac:dyDescent="0.25">
      <c r="A3" s="135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</row>
    <row r="4" spans="1:29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</row>
    <row r="5" spans="1:29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</row>
    <row r="6" spans="1:29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</row>
    <row r="7" spans="1:29" x14ac:dyDescent="0.2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</row>
    <row r="8" spans="1:29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</row>
    <row r="9" spans="1:29" ht="19.5" x14ac:dyDescent="0.25">
      <c r="A9" s="104" t="s">
        <v>22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66"/>
      <c r="X9" s="66"/>
      <c r="Y9" s="66"/>
      <c r="Z9" s="66"/>
      <c r="AA9" s="66"/>
      <c r="AB9" s="66"/>
      <c r="AC9" s="45"/>
    </row>
    <row r="10" spans="1:29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</row>
    <row r="11" spans="1:29" x14ac:dyDescent="0.25">
      <c r="A11" s="48" t="str">
        <f>ORÇAMENTO!A7</f>
        <v>OBJETO: CONTRUÇÃO DE VIA MARGINAL A BR-158 E BR-373 - CORONEL VIVIDA - PR     2ª ETAPA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</row>
    <row r="12" spans="1:29" x14ac:dyDescent="0.25">
      <c r="A12" s="48" t="str">
        <f>ORÇAMENTO!A8</f>
        <v>LOCALIZAÇÃO: RODOVIA BR 373 E RODOVIA BR 158 - ENTRE O LOTEAMENTO SOL NASCENTE E O TREVO DA RUA ROMÁRIO MARTINS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</row>
    <row r="13" spans="1:29" x14ac:dyDescent="0.25">
      <c r="A13" s="48" t="s">
        <v>23</v>
      </c>
      <c r="B13" s="10"/>
      <c r="C13" s="11"/>
      <c r="D13" s="11"/>
      <c r="E13" s="11"/>
      <c r="F13" s="11"/>
      <c r="G13" s="11"/>
      <c r="H13" s="11"/>
      <c r="I13" s="11"/>
      <c r="J13" s="48"/>
      <c r="K13" s="48"/>
      <c r="L13" s="48"/>
      <c r="M13" s="48"/>
      <c r="N13" s="48"/>
      <c r="O13" s="48"/>
      <c r="P13" s="48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 x14ac:dyDescent="0.25">
      <c r="A15" s="105" t="s">
        <v>10</v>
      </c>
      <c r="B15" s="107" t="s">
        <v>124</v>
      </c>
      <c r="C15" s="109" t="s">
        <v>24</v>
      </c>
      <c r="D15" s="53" t="s">
        <v>28</v>
      </c>
      <c r="E15" s="96" t="s">
        <v>11</v>
      </c>
      <c r="F15" s="96"/>
      <c r="G15" s="96" t="s">
        <v>12</v>
      </c>
      <c r="H15" s="96"/>
      <c r="I15" s="96" t="s">
        <v>13</v>
      </c>
      <c r="J15" s="96"/>
      <c r="K15" s="96" t="s">
        <v>14</v>
      </c>
      <c r="L15" s="96"/>
      <c r="M15" s="96" t="s">
        <v>15</v>
      </c>
      <c r="N15" s="96"/>
      <c r="O15" s="96" t="s">
        <v>16</v>
      </c>
      <c r="P15" s="96"/>
      <c r="Q15" s="96" t="s">
        <v>49</v>
      </c>
      <c r="R15" s="96"/>
      <c r="S15" s="96" t="s">
        <v>50</v>
      </c>
      <c r="T15" s="111"/>
      <c r="U15" s="96" t="s">
        <v>51</v>
      </c>
      <c r="V15" s="96"/>
      <c r="W15" s="96" t="s">
        <v>121</v>
      </c>
      <c r="X15" s="96"/>
      <c r="Y15" s="96" t="s">
        <v>122</v>
      </c>
      <c r="Z15" s="96"/>
      <c r="AA15" s="96" t="s">
        <v>123</v>
      </c>
      <c r="AB15" s="97"/>
      <c r="AC15" s="49"/>
    </row>
    <row r="16" spans="1:29" x14ac:dyDescent="0.25">
      <c r="A16" s="106"/>
      <c r="B16" s="108"/>
      <c r="C16" s="110"/>
      <c r="D16" s="44" t="s">
        <v>29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76" t="s">
        <v>18</v>
      </c>
      <c r="U16" s="13" t="s">
        <v>17</v>
      </c>
      <c r="V16" s="14" t="s">
        <v>18</v>
      </c>
      <c r="W16" s="13" t="s">
        <v>17</v>
      </c>
      <c r="X16" s="14" t="s">
        <v>18</v>
      </c>
      <c r="Y16" s="13" t="s">
        <v>17</v>
      </c>
      <c r="Z16" s="14" t="s">
        <v>18</v>
      </c>
      <c r="AA16" s="13" t="s">
        <v>17</v>
      </c>
      <c r="AB16" s="54" t="s">
        <v>18</v>
      </c>
      <c r="AC16" s="49"/>
    </row>
    <row r="17" spans="1:31" x14ac:dyDescent="0.25">
      <c r="A17" s="55" t="s">
        <v>381</v>
      </c>
      <c r="B17" s="15" t="str">
        <f>ORÇAMENTO!C12</f>
        <v>ADMINISTRAÇÃO LOCAL</v>
      </c>
      <c r="C17" s="16">
        <f>ORÇAMENTO!G12</f>
        <v>692995.44</v>
      </c>
      <c r="D17" s="24">
        <f>((C17*100)/$C$45)/100</f>
        <v>7.3423684593559371E-2</v>
      </c>
      <c r="E17" s="17"/>
      <c r="F17" s="16">
        <f t="shared" ref="F17:F40" si="0">E17</f>
        <v>0</v>
      </c>
      <c r="G17" s="17"/>
      <c r="H17" s="16">
        <f t="shared" ref="H17:H40" si="1">F17+G17</f>
        <v>0</v>
      </c>
      <c r="I17" s="17"/>
      <c r="J17" s="16">
        <f t="shared" ref="J17:J40" si="2">H17+I17</f>
        <v>0</v>
      </c>
      <c r="K17" s="17"/>
      <c r="L17" s="16">
        <f t="shared" ref="L17:L40" si="3">J17+K17</f>
        <v>0</v>
      </c>
      <c r="M17" s="17"/>
      <c r="N17" s="16">
        <f t="shared" ref="N17:N40" si="4">L17+M17</f>
        <v>0</v>
      </c>
      <c r="O17" s="18"/>
      <c r="P17" s="16">
        <f t="shared" ref="P17:P40" si="5">N17+O17</f>
        <v>0</v>
      </c>
      <c r="Q17" s="18"/>
      <c r="R17" s="16">
        <f t="shared" ref="R17:R40" si="6">P17+Q17</f>
        <v>0</v>
      </c>
      <c r="S17" s="18"/>
      <c r="T17" s="77">
        <f t="shared" ref="T17:T40" si="7">R17+S17</f>
        <v>0</v>
      </c>
      <c r="U17" s="17"/>
      <c r="V17" s="16">
        <f t="shared" ref="V17:V40" si="8">T17+U17</f>
        <v>0</v>
      </c>
      <c r="W17" s="17"/>
      <c r="X17" s="16">
        <f t="shared" ref="X17:X40" si="9">V17+W17</f>
        <v>0</v>
      </c>
      <c r="Y17" s="17"/>
      <c r="Z17" s="16">
        <f t="shared" ref="Z17:Z40" si="10">X17+Y17</f>
        <v>0</v>
      </c>
      <c r="AA17" s="17">
        <v>100</v>
      </c>
      <c r="AB17" s="56">
        <f t="shared" ref="AB17:AB40" si="11">Z17+AA17</f>
        <v>100</v>
      </c>
      <c r="AC17" s="50"/>
      <c r="AE17" t="str">
        <f>IF(AB17&lt;&gt;100,"REVER PERCENTUAL ATÉ ATINGIR 100%- CASO NECESSÁRIO","PERCENTUAL CORRETO")</f>
        <v>PERCENTUAL CORRETO</v>
      </c>
    </row>
    <row r="18" spans="1:31" x14ac:dyDescent="0.25">
      <c r="A18" s="55" t="s">
        <v>382</v>
      </c>
      <c r="B18" s="15" t="str">
        <f>ORÇAMENTO!C14</f>
        <v>SERVIÇOS INICIAIS</v>
      </c>
      <c r="C18" s="16">
        <f>ORÇAMENTO!G14</f>
        <v>2559.1999999999998</v>
      </c>
      <c r="D18" s="24">
        <f t="shared" ref="D18:D42" si="12">((C18*100)/$C$45)/100</f>
        <v>2.7115025982254245E-4</v>
      </c>
      <c r="E18" s="17">
        <v>100</v>
      </c>
      <c r="F18" s="16">
        <f t="shared" si="0"/>
        <v>100</v>
      </c>
      <c r="G18" s="17"/>
      <c r="H18" s="16">
        <f t="shared" si="1"/>
        <v>100</v>
      </c>
      <c r="I18" s="17"/>
      <c r="J18" s="16">
        <f t="shared" si="2"/>
        <v>100</v>
      </c>
      <c r="K18" s="17"/>
      <c r="L18" s="16">
        <f t="shared" si="3"/>
        <v>100</v>
      </c>
      <c r="M18" s="17"/>
      <c r="N18" s="16">
        <f t="shared" si="4"/>
        <v>100</v>
      </c>
      <c r="O18" s="18"/>
      <c r="P18" s="16">
        <f t="shared" si="5"/>
        <v>100</v>
      </c>
      <c r="Q18" s="18"/>
      <c r="R18" s="16">
        <f t="shared" si="6"/>
        <v>100</v>
      </c>
      <c r="S18" s="18"/>
      <c r="T18" s="77">
        <f t="shared" si="7"/>
        <v>100</v>
      </c>
      <c r="U18" s="17"/>
      <c r="V18" s="16">
        <f t="shared" si="8"/>
        <v>100</v>
      </c>
      <c r="W18" s="17"/>
      <c r="X18" s="16">
        <f t="shared" si="9"/>
        <v>100</v>
      </c>
      <c r="Y18" s="17"/>
      <c r="Z18" s="16">
        <f t="shared" si="10"/>
        <v>100</v>
      </c>
      <c r="AA18" s="17"/>
      <c r="AB18" s="56">
        <f t="shared" si="11"/>
        <v>100</v>
      </c>
      <c r="AC18" s="50"/>
      <c r="AE18" t="str">
        <f t="shared" ref="AE18:AE43" si="13">IF(AB18&lt;&gt;100,"REVER PERCENTUAL ATÉ ATINGIR 100%- CASO NECESSÁRIO","PERCENTUAL CORRETO")</f>
        <v>PERCENTUAL CORRETO</v>
      </c>
    </row>
    <row r="19" spans="1:31" x14ac:dyDescent="0.25">
      <c r="A19" s="55" t="s">
        <v>383</v>
      </c>
      <c r="B19" s="15" t="str">
        <f>ORÇAMENTO!C16</f>
        <v xml:space="preserve">LIMPEZA DA ÁREA </v>
      </c>
      <c r="C19" s="16">
        <f>ORÇAMENTO!G16</f>
        <v>47821.04</v>
      </c>
      <c r="D19" s="24">
        <f t="shared" si="12"/>
        <v>5.0666956162020152E-3</v>
      </c>
      <c r="E19" s="17">
        <v>25.093389855176714</v>
      </c>
      <c r="F19" s="16">
        <f t="shared" si="0"/>
        <v>25.093389855176714</v>
      </c>
      <c r="G19" s="17">
        <v>32.354398816922405</v>
      </c>
      <c r="H19" s="16">
        <f t="shared" si="1"/>
        <v>57.447788672099122</v>
      </c>
      <c r="I19" s="17">
        <v>42.552211327900864</v>
      </c>
      <c r="J19" s="16">
        <f t="shared" si="2"/>
        <v>99.999999999999986</v>
      </c>
      <c r="K19" s="17"/>
      <c r="L19" s="16">
        <f t="shared" si="3"/>
        <v>99.999999999999986</v>
      </c>
      <c r="M19" s="17"/>
      <c r="N19" s="16">
        <f t="shared" si="4"/>
        <v>99.999999999999986</v>
      </c>
      <c r="O19" s="18"/>
      <c r="P19" s="16">
        <f t="shared" si="5"/>
        <v>99.999999999999986</v>
      </c>
      <c r="Q19" s="18"/>
      <c r="R19" s="16">
        <f t="shared" si="6"/>
        <v>99.999999999999986</v>
      </c>
      <c r="S19" s="18"/>
      <c r="T19" s="77">
        <f t="shared" si="7"/>
        <v>99.999999999999986</v>
      </c>
      <c r="U19" s="17"/>
      <c r="V19" s="16">
        <f t="shared" si="8"/>
        <v>99.999999999999986</v>
      </c>
      <c r="W19" s="17"/>
      <c r="X19" s="16">
        <f t="shared" si="9"/>
        <v>99.999999999999986</v>
      </c>
      <c r="Y19" s="17"/>
      <c r="Z19" s="16">
        <f t="shared" si="10"/>
        <v>99.999999999999986</v>
      </c>
      <c r="AA19" s="17"/>
      <c r="AB19" s="56">
        <f t="shared" si="11"/>
        <v>99.999999999999986</v>
      </c>
      <c r="AC19" s="50"/>
      <c r="AE19" t="str">
        <f t="shared" si="13"/>
        <v>PERCENTUAL CORRETO</v>
      </c>
    </row>
    <row r="20" spans="1:31" x14ac:dyDescent="0.25">
      <c r="A20" s="55" t="s">
        <v>384</v>
      </c>
      <c r="B20" s="15" t="str">
        <f>ORÇAMENTO!C21</f>
        <v>TERRAPLENAGEM</v>
      </c>
      <c r="C20" s="16">
        <f>ORÇAMENTO!G21</f>
        <v>1352115.38</v>
      </c>
      <c r="D20" s="24">
        <f t="shared" si="12"/>
        <v>0.14325821998947161</v>
      </c>
      <c r="E20" s="17">
        <v>8.5423930315769354</v>
      </c>
      <c r="F20" s="16">
        <f t="shared" si="0"/>
        <v>8.5423930315769354</v>
      </c>
      <c r="G20" s="17">
        <v>11.211950713851063</v>
      </c>
      <c r="H20" s="16">
        <f t="shared" si="1"/>
        <v>19.754343745427999</v>
      </c>
      <c r="I20" s="17">
        <v>10.677952646319284</v>
      </c>
      <c r="J20" s="16">
        <f t="shared" si="2"/>
        <v>30.432296391747283</v>
      </c>
      <c r="K20" s="17">
        <v>10.677952646319284</v>
      </c>
      <c r="L20" s="16">
        <f t="shared" si="3"/>
        <v>41.11024903806657</v>
      </c>
      <c r="M20" s="17">
        <v>10.677952646319284</v>
      </c>
      <c r="N20" s="16">
        <f t="shared" si="4"/>
        <v>51.788201684385854</v>
      </c>
      <c r="O20" s="18">
        <v>12.066231359634415</v>
      </c>
      <c r="P20" s="16">
        <f t="shared" si="5"/>
        <v>63.854433044020269</v>
      </c>
      <c r="Q20" s="18">
        <v>12.813623937921633</v>
      </c>
      <c r="R20" s="16">
        <f t="shared" si="6"/>
        <v>76.668056981941902</v>
      </c>
      <c r="S20" s="18">
        <v>23.331943018058126</v>
      </c>
      <c r="T20" s="77">
        <f t="shared" si="7"/>
        <v>100.00000000000003</v>
      </c>
      <c r="U20" s="17"/>
      <c r="V20" s="16">
        <f t="shared" si="8"/>
        <v>100.00000000000003</v>
      </c>
      <c r="W20" s="17"/>
      <c r="X20" s="16">
        <f t="shared" si="9"/>
        <v>100.00000000000003</v>
      </c>
      <c r="Y20" s="17"/>
      <c r="Z20" s="16">
        <f t="shared" si="10"/>
        <v>100.00000000000003</v>
      </c>
      <c r="AA20" s="17"/>
      <c r="AB20" s="56">
        <f t="shared" si="11"/>
        <v>100.00000000000003</v>
      </c>
      <c r="AC20" s="50"/>
      <c r="AE20" t="str">
        <f t="shared" si="13"/>
        <v>PERCENTUAL CORRETO</v>
      </c>
    </row>
    <row r="21" spans="1:31" x14ac:dyDescent="0.25">
      <c r="A21" s="55" t="s">
        <v>385</v>
      </c>
      <c r="B21" s="15" t="str">
        <f>ORÇAMENTO!C34</f>
        <v>REMOÇÕES, REGULARIZAÇÃO E COMPACTAÇÃO</v>
      </c>
      <c r="C21" s="16">
        <f>ORÇAMENTO!G34</f>
        <v>57436.53</v>
      </c>
      <c r="D21" s="24">
        <f t="shared" si="12"/>
        <v>6.0854681278545075E-3</v>
      </c>
      <c r="E21" s="17">
        <v>7.0257900329285219</v>
      </c>
      <c r="F21" s="16">
        <f t="shared" si="0"/>
        <v>7.0257900329285219</v>
      </c>
      <c r="G21" s="17">
        <v>9.2211524616824878</v>
      </c>
      <c r="H21" s="16">
        <f t="shared" si="1"/>
        <v>16.246942494611009</v>
      </c>
      <c r="I21" s="17">
        <v>10.344775354639284</v>
      </c>
      <c r="J21" s="16">
        <f t="shared" si="2"/>
        <v>26.591717849250294</v>
      </c>
      <c r="K21" s="17">
        <v>8.7821461359173316</v>
      </c>
      <c r="L21" s="16">
        <f t="shared" si="3"/>
        <v>35.373863985167624</v>
      </c>
      <c r="M21" s="17">
        <v>8.7821461359173316</v>
      </c>
      <c r="N21" s="16">
        <f t="shared" si="4"/>
        <v>44.156010121084954</v>
      </c>
      <c r="O21" s="18">
        <v>9.9237366881321005</v>
      </c>
      <c r="P21" s="16">
        <f t="shared" si="5"/>
        <v>54.079746809217056</v>
      </c>
      <c r="Q21" s="18">
        <v>10.538206260023021</v>
      </c>
      <c r="R21" s="16">
        <f t="shared" si="6"/>
        <v>64.617953069240073</v>
      </c>
      <c r="S21" s="18">
        <v>35.38204693075992</v>
      </c>
      <c r="T21" s="77">
        <f t="shared" si="7"/>
        <v>100</v>
      </c>
      <c r="U21" s="17"/>
      <c r="V21" s="16">
        <f t="shared" si="8"/>
        <v>100</v>
      </c>
      <c r="W21" s="17"/>
      <c r="X21" s="16">
        <f t="shared" si="9"/>
        <v>100</v>
      </c>
      <c r="Y21" s="17"/>
      <c r="Z21" s="16">
        <f t="shared" si="10"/>
        <v>100</v>
      </c>
      <c r="AA21" s="17"/>
      <c r="AB21" s="56">
        <f t="shared" si="11"/>
        <v>100</v>
      </c>
      <c r="AC21" s="50"/>
      <c r="AE21" t="str">
        <f t="shared" si="13"/>
        <v>PERCENTUAL CORRETO</v>
      </c>
    </row>
    <row r="22" spans="1:31" x14ac:dyDescent="0.25">
      <c r="A22" s="55" t="s">
        <v>386</v>
      </c>
      <c r="B22" s="15" t="str">
        <f>ORÇAMENTO!C39</f>
        <v>SUB-BASE E BASE</v>
      </c>
      <c r="C22" s="16">
        <f>ORÇAMENTO!G39</f>
        <v>2289649.13</v>
      </c>
      <c r="D22" s="24">
        <f t="shared" si="12"/>
        <v>0.24259102707953983</v>
      </c>
      <c r="E22" s="17"/>
      <c r="F22" s="16">
        <f t="shared" si="0"/>
        <v>0</v>
      </c>
      <c r="G22" s="17"/>
      <c r="H22" s="16">
        <f t="shared" si="1"/>
        <v>0</v>
      </c>
      <c r="I22" s="17">
        <v>3.2034392972690973</v>
      </c>
      <c r="J22" s="16">
        <f t="shared" si="2"/>
        <v>3.2034392972690973</v>
      </c>
      <c r="K22" s="17">
        <v>10.678051793900842</v>
      </c>
      <c r="L22" s="16">
        <f t="shared" si="3"/>
        <v>13.88149109116994</v>
      </c>
      <c r="M22" s="17">
        <v>11.211986004161259</v>
      </c>
      <c r="N22" s="16">
        <f t="shared" si="4"/>
        <v>25.093477095331199</v>
      </c>
      <c r="O22" s="18">
        <v>10.678051793900842</v>
      </c>
      <c r="P22" s="16">
        <f t="shared" si="5"/>
        <v>35.771528889232044</v>
      </c>
      <c r="Q22" s="18">
        <v>10.678051793900842</v>
      </c>
      <c r="R22" s="16">
        <f t="shared" si="6"/>
        <v>46.449580683132886</v>
      </c>
      <c r="S22" s="18">
        <v>10.998346720486385</v>
      </c>
      <c r="T22" s="77">
        <f t="shared" si="7"/>
        <v>57.447927403619275</v>
      </c>
      <c r="U22" s="17">
        <v>12.813729237195396</v>
      </c>
      <c r="V22" s="16">
        <f t="shared" si="8"/>
        <v>70.261656640814664</v>
      </c>
      <c r="W22" s="17">
        <v>13.881506377354857</v>
      </c>
      <c r="X22" s="16">
        <f t="shared" si="9"/>
        <v>84.143163018169517</v>
      </c>
      <c r="Y22" s="17">
        <v>15.856836981830488</v>
      </c>
      <c r="Z22" s="16">
        <f t="shared" si="10"/>
        <v>100</v>
      </c>
      <c r="AA22" s="17"/>
      <c r="AB22" s="56">
        <f t="shared" si="11"/>
        <v>100</v>
      </c>
      <c r="AC22" s="50"/>
      <c r="AE22" t="str">
        <f t="shared" si="13"/>
        <v>PERCENTUAL CORRETO</v>
      </c>
    </row>
    <row r="23" spans="1:31" x14ac:dyDescent="0.25">
      <c r="A23" s="55" t="s">
        <v>387</v>
      </c>
      <c r="B23" s="15" t="str">
        <f>ORÇAMENTO!C43</f>
        <v>PAVIMENTAÇÃO</v>
      </c>
      <c r="C23" s="16">
        <f>ORÇAMENTO!G43</f>
        <v>757869.1</v>
      </c>
      <c r="D23" s="24">
        <f t="shared" si="12"/>
        <v>8.0297125420630056E-2</v>
      </c>
      <c r="E23" s="17"/>
      <c r="F23" s="16">
        <f t="shared" si="0"/>
        <v>0</v>
      </c>
      <c r="G23" s="17"/>
      <c r="H23" s="16">
        <f t="shared" si="1"/>
        <v>0</v>
      </c>
      <c r="I23" s="17">
        <v>3.2032721745747388</v>
      </c>
      <c r="J23" s="16">
        <f t="shared" si="2"/>
        <v>3.2032721745747388</v>
      </c>
      <c r="K23" s="17">
        <v>10.677999670391628</v>
      </c>
      <c r="L23" s="16">
        <f t="shared" si="3"/>
        <v>13.881271844966367</v>
      </c>
      <c r="M23" s="17">
        <v>11.211932245291436</v>
      </c>
      <c r="N23" s="16">
        <f t="shared" si="4"/>
        <v>25.093204090257803</v>
      </c>
      <c r="O23" s="18">
        <v>10.677999670391628</v>
      </c>
      <c r="P23" s="16">
        <f t="shared" si="5"/>
        <v>35.771203760649428</v>
      </c>
      <c r="Q23" s="18">
        <v>10.677999670391628</v>
      </c>
      <c r="R23" s="16">
        <f t="shared" si="6"/>
        <v>46.449203431041056</v>
      </c>
      <c r="S23" s="18">
        <v>10.9982964076514</v>
      </c>
      <c r="T23" s="77">
        <f t="shared" si="7"/>
        <v>57.447499838692458</v>
      </c>
      <c r="U23" s="17">
        <v>12.813729969990858</v>
      </c>
      <c r="V23" s="16">
        <f t="shared" si="8"/>
        <v>70.261229808683311</v>
      </c>
      <c r="W23" s="17">
        <v>13.881592480812319</v>
      </c>
      <c r="X23" s="16">
        <f t="shared" si="9"/>
        <v>84.142822289495626</v>
      </c>
      <c r="Y23" s="17">
        <v>15.857177710504361</v>
      </c>
      <c r="Z23" s="16">
        <f t="shared" si="10"/>
        <v>99.999999999999986</v>
      </c>
      <c r="AA23" s="17"/>
      <c r="AB23" s="56">
        <f t="shared" si="11"/>
        <v>99.999999999999986</v>
      </c>
      <c r="AC23" s="50"/>
      <c r="AE23" t="str">
        <f t="shared" si="13"/>
        <v>PERCENTUAL CORRETO</v>
      </c>
    </row>
    <row r="24" spans="1:31" x14ac:dyDescent="0.25">
      <c r="A24" s="55" t="s">
        <v>388</v>
      </c>
      <c r="B24" s="15" t="str">
        <f>ORÇAMENTO!C47</f>
        <v>LIGANTES BETUMINOSOS</v>
      </c>
      <c r="C24" s="16">
        <f>ORÇAMENTO!G47</f>
        <v>1087421.0900000001</v>
      </c>
      <c r="D24" s="24">
        <f t="shared" si="12"/>
        <v>0.11521354762816989</v>
      </c>
      <c r="E24" s="17"/>
      <c r="F24" s="16">
        <f t="shared" si="0"/>
        <v>0</v>
      </c>
      <c r="G24" s="17"/>
      <c r="H24" s="16">
        <f t="shared" si="1"/>
        <v>0</v>
      </c>
      <c r="I24" s="17">
        <v>3.2024760527681142</v>
      </c>
      <c r="J24" s="16">
        <f t="shared" si="2"/>
        <v>3.2024760527681142</v>
      </c>
      <c r="K24" s="17">
        <v>10.672879261519565</v>
      </c>
      <c r="L24" s="16">
        <f t="shared" si="3"/>
        <v>13.875355314287679</v>
      </c>
      <c r="M24" s="17">
        <v>11.211417648704975</v>
      </c>
      <c r="N24" s="16">
        <f t="shared" si="4"/>
        <v>25.086772962992654</v>
      </c>
      <c r="O24" s="18">
        <v>10.672879261519565</v>
      </c>
      <c r="P24" s="16">
        <f t="shared" si="5"/>
        <v>35.759652224512223</v>
      </c>
      <c r="Q24" s="18">
        <v>10.672879261519565</v>
      </c>
      <c r="R24" s="16">
        <f t="shared" si="6"/>
        <v>46.432531486031792</v>
      </c>
      <c r="S24" s="18">
        <v>10.997800309353941</v>
      </c>
      <c r="T24" s="77">
        <f t="shared" si="7"/>
        <v>57.430331795385733</v>
      </c>
      <c r="U24" s="17">
        <v>12.811673534858514</v>
      </c>
      <c r="V24" s="16">
        <f t="shared" si="8"/>
        <v>70.24200533024424</v>
      </c>
      <c r="W24" s="17">
        <v>13.880186929241917</v>
      </c>
      <c r="X24" s="16">
        <f t="shared" si="9"/>
        <v>84.122192259486155</v>
      </c>
      <c r="Y24" s="17">
        <v>15.877807740513838</v>
      </c>
      <c r="Z24" s="16">
        <f t="shared" si="10"/>
        <v>100</v>
      </c>
      <c r="AA24" s="17"/>
      <c r="AB24" s="56">
        <f t="shared" si="11"/>
        <v>100</v>
      </c>
      <c r="AC24" s="50"/>
      <c r="AE24" t="str">
        <f t="shared" si="13"/>
        <v>PERCENTUAL CORRETO</v>
      </c>
    </row>
    <row r="25" spans="1:31" x14ac:dyDescent="0.25">
      <c r="A25" s="55" t="s">
        <v>389</v>
      </c>
      <c r="B25" s="15" t="str">
        <f>ORÇAMENTO!C51</f>
        <v>DRENAGEM E OBRAS DE ARTE CORRENTES</v>
      </c>
      <c r="C25" s="16">
        <f>ORÇAMENTO!G51</f>
        <v>531357.44999999995</v>
      </c>
      <c r="D25" s="24">
        <f t="shared" si="12"/>
        <v>5.6297948822344325E-2</v>
      </c>
      <c r="E25" s="17">
        <v>3.3286858027491673</v>
      </c>
      <c r="F25" s="16">
        <f t="shared" si="0"/>
        <v>3.3286858027491673</v>
      </c>
      <c r="G25" s="17"/>
      <c r="H25" s="16">
        <f t="shared" si="1"/>
        <v>3.3286858027491673</v>
      </c>
      <c r="I25" s="17">
        <v>23.334311017940941</v>
      </c>
      <c r="J25" s="16">
        <f t="shared" si="2"/>
        <v>26.662996820690108</v>
      </c>
      <c r="K25" s="17">
        <v>27.197990731098248</v>
      </c>
      <c r="L25" s="16">
        <f t="shared" si="3"/>
        <v>53.860987551788355</v>
      </c>
      <c r="M25" s="17">
        <v>14.449199874773564</v>
      </c>
      <c r="N25" s="16">
        <f t="shared" si="4"/>
        <v>68.310187426561924</v>
      </c>
      <c r="O25" s="18">
        <v>7.7066633769790949</v>
      </c>
      <c r="P25" s="16">
        <f t="shared" si="5"/>
        <v>76.016850803541018</v>
      </c>
      <c r="Q25" s="18">
        <v>23.983149196458996</v>
      </c>
      <c r="R25" s="16">
        <f t="shared" si="6"/>
        <v>100.00000000000001</v>
      </c>
      <c r="S25" s="18"/>
      <c r="T25" s="77">
        <f t="shared" si="7"/>
        <v>100.00000000000001</v>
      </c>
      <c r="U25" s="17"/>
      <c r="V25" s="16">
        <f t="shared" si="8"/>
        <v>100.00000000000001</v>
      </c>
      <c r="W25" s="17"/>
      <c r="X25" s="16">
        <f t="shared" si="9"/>
        <v>100.00000000000001</v>
      </c>
      <c r="Y25" s="17"/>
      <c r="Z25" s="16">
        <f t="shared" si="10"/>
        <v>100.00000000000001</v>
      </c>
      <c r="AA25" s="17"/>
      <c r="AB25" s="56">
        <f t="shared" si="11"/>
        <v>100.00000000000001</v>
      </c>
      <c r="AC25" s="50"/>
      <c r="AE25" t="str">
        <f t="shared" si="13"/>
        <v>PERCENTUAL CORRETO</v>
      </c>
    </row>
    <row r="26" spans="1:31" x14ac:dyDescent="0.25">
      <c r="A26" s="55" t="s">
        <v>390</v>
      </c>
      <c r="B26" s="15" t="str">
        <f>ORÇAMENTO!C58</f>
        <v>BOCAS DE LOBO E SAIDAS</v>
      </c>
      <c r="C26" s="16">
        <f>ORÇAMENTO!G58</f>
        <v>46256.99</v>
      </c>
      <c r="D26" s="24">
        <f t="shared" si="12"/>
        <v>4.9009826731434628E-3</v>
      </c>
      <c r="E26" s="17">
        <v>1.9541262844815455</v>
      </c>
      <c r="F26" s="16">
        <f t="shared" si="0"/>
        <v>1.9541262844815455</v>
      </c>
      <c r="G26" s="17"/>
      <c r="H26" s="16">
        <f t="shared" si="1"/>
        <v>1.9541262844815455</v>
      </c>
      <c r="I26" s="17">
        <v>24.061444551407256</v>
      </c>
      <c r="J26" s="16">
        <f t="shared" si="2"/>
        <v>26.015570835888802</v>
      </c>
      <c r="K26" s="17">
        <v>19.0488399699159</v>
      </c>
      <c r="L26" s="16">
        <f t="shared" si="3"/>
        <v>45.064410805804698</v>
      </c>
      <c r="M26" s="17">
        <v>14.733405697171392</v>
      </c>
      <c r="N26" s="16">
        <f t="shared" si="4"/>
        <v>59.79781650297609</v>
      </c>
      <c r="O26" s="18">
        <v>12.699226646610597</v>
      </c>
      <c r="P26" s="16">
        <f t="shared" si="5"/>
        <v>72.497043149586688</v>
      </c>
      <c r="Q26" s="18">
        <v>27.502956850413305</v>
      </c>
      <c r="R26" s="16">
        <f t="shared" si="6"/>
        <v>100</v>
      </c>
      <c r="S26" s="18"/>
      <c r="T26" s="77">
        <f t="shared" si="7"/>
        <v>100</v>
      </c>
      <c r="U26" s="17"/>
      <c r="V26" s="16">
        <f t="shared" si="8"/>
        <v>100</v>
      </c>
      <c r="W26" s="17"/>
      <c r="X26" s="16">
        <f t="shared" si="9"/>
        <v>100</v>
      </c>
      <c r="Y26" s="17"/>
      <c r="Z26" s="16">
        <f t="shared" si="10"/>
        <v>100</v>
      </c>
      <c r="AA26" s="17"/>
      <c r="AB26" s="56">
        <f t="shared" si="11"/>
        <v>100</v>
      </c>
      <c r="AC26" s="50"/>
      <c r="AE26" t="str">
        <f t="shared" si="13"/>
        <v>PERCENTUAL CORRETO</v>
      </c>
    </row>
    <row r="27" spans="1:31" x14ac:dyDescent="0.25">
      <c r="A27" s="55" t="s">
        <v>391</v>
      </c>
      <c r="B27" s="15" t="str">
        <f>ORÇAMENTO!C67</f>
        <v>DRENOS</v>
      </c>
      <c r="C27" s="16">
        <f>ORÇAMENTO!G67</f>
        <v>131068</v>
      </c>
      <c r="D27" s="24">
        <f t="shared" si="12"/>
        <v>1.3886809258526492E-2</v>
      </c>
      <c r="E27" s="17">
        <v>28.571428571428569</v>
      </c>
      <c r="F27" s="16">
        <f t="shared" si="0"/>
        <v>28.571428571428569</v>
      </c>
      <c r="G27" s="17">
        <v>42.857142857142854</v>
      </c>
      <c r="H27" s="16">
        <f t="shared" si="1"/>
        <v>71.428571428571416</v>
      </c>
      <c r="I27" s="17">
        <v>14.285714285714285</v>
      </c>
      <c r="J27" s="16">
        <f t="shared" si="2"/>
        <v>85.714285714285694</v>
      </c>
      <c r="K27" s="17">
        <f>100-I27-G27-E27</f>
        <v>14.285714285714299</v>
      </c>
      <c r="L27" s="16">
        <f t="shared" si="3"/>
        <v>100</v>
      </c>
      <c r="M27" s="17"/>
      <c r="N27" s="16">
        <f t="shared" si="4"/>
        <v>100</v>
      </c>
      <c r="O27" s="18"/>
      <c r="P27" s="16">
        <f t="shared" si="5"/>
        <v>100</v>
      </c>
      <c r="Q27" s="18"/>
      <c r="R27" s="16">
        <f t="shared" si="6"/>
        <v>100</v>
      </c>
      <c r="S27" s="18"/>
      <c r="T27" s="16">
        <f t="shared" si="7"/>
        <v>100</v>
      </c>
      <c r="U27" s="17"/>
      <c r="V27" s="16">
        <f t="shared" si="8"/>
        <v>100</v>
      </c>
      <c r="W27" s="17"/>
      <c r="X27" s="16">
        <f t="shared" si="9"/>
        <v>100</v>
      </c>
      <c r="Y27" s="17"/>
      <c r="Z27" s="16">
        <f t="shared" si="10"/>
        <v>100</v>
      </c>
      <c r="AA27" s="17"/>
      <c r="AB27" s="56">
        <f t="shared" si="11"/>
        <v>100</v>
      </c>
      <c r="AC27" s="50"/>
      <c r="AE27" t="str">
        <f t="shared" si="13"/>
        <v>PERCENTUAL CORRETO</v>
      </c>
    </row>
    <row r="28" spans="1:31" x14ac:dyDescent="0.25">
      <c r="A28" s="55" t="s">
        <v>392</v>
      </c>
      <c r="B28" s="15" t="str">
        <f>ORÇAMENTO!C69</f>
        <v>MEIO FIO E SARJETAS</v>
      </c>
      <c r="C28" s="16">
        <f>ORÇAMENTO!G69</f>
        <v>553730.85</v>
      </c>
      <c r="D28" s="24">
        <f t="shared" si="12"/>
        <v>5.8668436952663841E-2</v>
      </c>
      <c r="E28" s="17">
        <v>6.9754213622015104</v>
      </c>
      <c r="F28" s="16">
        <f t="shared" si="0"/>
        <v>6.9754213622015104</v>
      </c>
      <c r="G28" s="17">
        <v>9.805883128960577</v>
      </c>
      <c r="H28" s="16">
        <f t="shared" si="1"/>
        <v>16.781304491162089</v>
      </c>
      <c r="I28" s="17">
        <v>10.321982241011133</v>
      </c>
      <c r="J28" s="16">
        <f t="shared" si="2"/>
        <v>27.103286732173224</v>
      </c>
      <c r="K28" s="17">
        <v>10.321982241011133</v>
      </c>
      <c r="L28" s="16">
        <f t="shared" si="3"/>
        <v>37.425268973184359</v>
      </c>
      <c r="M28" s="17">
        <v>10.321982241011133</v>
      </c>
      <c r="N28" s="16">
        <f t="shared" si="4"/>
        <v>47.747251214195494</v>
      </c>
      <c r="O28" s="18">
        <v>11.663839932342581</v>
      </c>
      <c r="P28" s="16">
        <f t="shared" si="5"/>
        <v>59.411091146538077</v>
      </c>
      <c r="Q28" s="18">
        <v>12.386378689213361</v>
      </c>
      <c r="R28" s="16">
        <f t="shared" si="6"/>
        <v>71.797469835751443</v>
      </c>
      <c r="S28" s="18">
        <f>100-Q28-O28-M28-K28-I28-G28-E28</f>
        <v>28.202530164248579</v>
      </c>
      <c r="T28" s="77">
        <f t="shared" si="7"/>
        <v>100.00000000000003</v>
      </c>
      <c r="U28" s="17"/>
      <c r="V28" s="16">
        <f t="shared" si="8"/>
        <v>100.00000000000003</v>
      </c>
      <c r="W28" s="17"/>
      <c r="X28" s="16">
        <f t="shared" si="9"/>
        <v>100.00000000000003</v>
      </c>
      <c r="Y28" s="17"/>
      <c r="Z28" s="16">
        <f t="shared" si="10"/>
        <v>100.00000000000003</v>
      </c>
      <c r="AA28" s="17"/>
      <c r="AB28" s="56">
        <f t="shared" si="11"/>
        <v>100.00000000000003</v>
      </c>
      <c r="AC28" s="50"/>
      <c r="AE28" t="str">
        <f t="shared" si="13"/>
        <v>PERCENTUAL CORRETO</v>
      </c>
    </row>
    <row r="29" spans="1:31" x14ac:dyDescent="0.25">
      <c r="A29" s="55" t="s">
        <v>393</v>
      </c>
      <c r="B29" s="15" t="str">
        <f>ORÇAMENTO!C72</f>
        <v>DISSIPADORES DE ENERGIA</v>
      </c>
      <c r="C29" s="16">
        <f>ORÇAMENTO!G72</f>
        <v>8095.47</v>
      </c>
      <c r="D29" s="24">
        <f t="shared" si="12"/>
        <v>8.5772459904876451E-4</v>
      </c>
      <c r="E29" s="17">
        <v>22.58411185514862</v>
      </c>
      <c r="F29" s="16">
        <f t="shared" si="0"/>
        <v>22.58411185514862</v>
      </c>
      <c r="G29" s="17"/>
      <c r="H29" s="16">
        <f t="shared" si="1"/>
        <v>22.58411185514862</v>
      </c>
      <c r="I29" s="17"/>
      <c r="J29" s="16">
        <f t="shared" si="2"/>
        <v>22.58411185514862</v>
      </c>
      <c r="K29" s="17"/>
      <c r="L29" s="16">
        <f t="shared" si="3"/>
        <v>22.58411185514862</v>
      </c>
      <c r="M29" s="17">
        <v>54.831776289702752</v>
      </c>
      <c r="N29" s="16">
        <f t="shared" si="4"/>
        <v>77.41588814485138</v>
      </c>
      <c r="O29" s="18"/>
      <c r="P29" s="16">
        <f t="shared" si="5"/>
        <v>77.41588814485138</v>
      </c>
      <c r="Q29" s="18"/>
      <c r="R29" s="16">
        <f t="shared" si="6"/>
        <v>77.41588814485138</v>
      </c>
      <c r="S29" s="18"/>
      <c r="T29" s="77">
        <f t="shared" si="7"/>
        <v>77.41588814485138</v>
      </c>
      <c r="U29" s="17"/>
      <c r="V29" s="16">
        <f t="shared" si="8"/>
        <v>77.41588814485138</v>
      </c>
      <c r="W29" s="17">
        <v>22.58411185514862</v>
      </c>
      <c r="X29" s="16">
        <f t="shared" si="9"/>
        <v>100</v>
      </c>
      <c r="Y29" s="17"/>
      <c r="Z29" s="16">
        <f t="shared" si="10"/>
        <v>100</v>
      </c>
      <c r="AA29" s="17"/>
      <c r="AB29" s="56">
        <f t="shared" si="11"/>
        <v>100</v>
      </c>
      <c r="AC29" s="50"/>
      <c r="AE29" t="str">
        <f t="shared" si="13"/>
        <v>PERCENTUAL CORRETO</v>
      </c>
    </row>
    <row r="30" spans="1:31" x14ac:dyDescent="0.25">
      <c r="A30" s="55" t="s">
        <v>394</v>
      </c>
      <c r="B30" s="15" t="str">
        <f>ORÇAMENTO!C75</f>
        <v>SERVIÇOS COMPLEMENTARES - GRAMA</v>
      </c>
      <c r="C30" s="16">
        <f>ORÇAMENTO!G75</f>
        <v>155613.01</v>
      </c>
      <c r="D30" s="24">
        <f t="shared" si="12"/>
        <v>1.6487382030817403E-2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6">
        <f t="shared" si="6"/>
        <v>0</v>
      </c>
      <c r="S30" s="18">
        <v>19.754389430549541</v>
      </c>
      <c r="T30" s="77">
        <f t="shared" si="7"/>
        <v>19.754389430549541</v>
      </c>
      <c r="U30" s="17">
        <v>21.356132112604207</v>
      </c>
      <c r="V30" s="16">
        <f t="shared" si="8"/>
        <v>41.110521543153752</v>
      </c>
      <c r="W30" s="17">
        <v>16.337464328978662</v>
      </c>
      <c r="X30" s="16">
        <f t="shared" si="9"/>
        <v>57.447985872132413</v>
      </c>
      <c r="Y30" s="17">
        <v>19.220430219812595</v>
      </c>
      <c r="Z30" s="16">
        <f t="shared" si="10"/>
        <v>76.668416091945005</v>
      </c>
      <c r="AA30" s="17">
        <v>23.331583908054984</v>
      </c>
      <c r="AB30" s="56">
        <f t="shared" si="11"/>
        <v>99.999999999999986</v>
      </c>
      <c r="AC30" s="50"/>
      <c r="AE30" t="str">
        <f t="shared" si="13"/>
        <v>PERCENTUAL CORRETO</v>
      </c>
    </row>
    <row r="31" spans="1:31" x14ac:dyDescent="0.25">
      <c r="A31" s="55" t="s">
        <v>395</v>
      </c>
      <c r="B31" s="15" t="str">
        <f>ORÇAMENTO!C77</f>
        <v>SERVIÇOS COMPLEMENTARES - DEFENSAS</v>
      </c>
      <c r="C31" s="16">
        <f>ORÇAMENTO!G77</f>
        <v>245629.8</v>
      </c>
      <c r="D31" s="24">
        <f t="shared" si="12"/>
        <v>2.6024767149952773E-2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77">
        <f t="shared" si="7"/>
        <v>0</v>
      </c>
      <c r="U31" s="17"/>
      <c r="V31" s="16">
        <f t="shared" si="8"/>
        <v>0</v>
      </c>
      <c r="W31" s="17"/>
      <c r="X31" s="16">
        <f t="shared" si="9"/>
        <v>0</v>
      </c>
      <c r="Y31" s="17">
        <v>35.897435897435898</v>
      </c>
      <c r="Z31" s="16">
        <f t="shared" si="10"/>
        <v>35.897435897435898</v>
      </c>
      <c r="AA31" s="17">
        <v>64.102564102564102</v>
      </c>
      <c r="AB31" s="56">
        <f t="shared" si="11"/>
        <v>100</v>
      </c>
      <c r="AC31" s="50"/>
      <c r="AE31" t="str">
        <f t="shared" si="13"/>
        <v>PERCENTUAL CORRETO</v>
      </c>
    </row>
    <row r="32" spans="1:31" x14ac:dyDescent="0.25">
      <c r="A32" s="55" t="s">
        <v>396</v>
      </c>
      <c r="B32" s="15" t="str">
        <f>ORÇAMENTO!C79</f>
        <v>SERVIÇOS COMPLEMENTARES - REMOÇÕES</v>
      </c>
      <c r="C32" s="16">
        <f>ORÇAMENTO!G79</f>
        <v>745.19</v>
      </c>
      <c r="D32" s="24">
        <f t="shared" si="12"/>
        <v>7.8953759814457812E-5</v>
      </c>
      <c r="E32" s="17">
        <v>17.941732980850521</v>
      </c>
      <c r="F32" s="16">
        <f t="shared" si="0"/>
        <v>17.941732980850521</v>
      </c>
      <c r="G32" s="17">
        <v>32.05357023041104</v>
      </c>
      <c r="H32" s="16">
        <f t="shared" si="1"/>
        <v>49.995303211261557</v>
      </c>
      <c r="I32" s="17">
        <v>25.000335484909886</v>
      </c>
      <c r="J32" s="16">
        <f t="shared" si="2"/>
        <v>74.99563869617144</v>
      </c>
      <c r="K32" s="17">
        <v>25.004361303828553</v>
      </c>
      <c r="L32" s="16">
        <f t="shared" si="3"/>
        <v>100</v>
      </c>
      <c r="M32" s="17"/>
      <c r="N32" s="16">
        <f t="shared" si="4"/>
        <v>100</v>
      </c>
      <c r="O32" s="18"/>
      <c r="P32" s="16">
        <f t="shared" si="5"/>
        <v>100</v>
      </c>
      <c r="Q32" s="18"/>
      <c r="R32" s="16">
        <f t="shared" si="6"/>
        <v>100</v>
      </c>
      <c r="S32" s="18"/>
      <c r="T32" s="77">
        <f t="shared" si="7"/>
        <v>100</v>
      </c>
      <c r="U32" s="17"/>
      <c r="V32" s="16">
        <f t="shared" si="8"/>
        <v>100</v>
      </c>
      <c r="W32" s="17"/>
      <c r="X32" s="16">
        <f t="shared" si="9"/>
        <v>100</v>
      </c>
      <c r="Y32" s="17"/>
      <c r="Z32" s="16">
        <f t="shared" si="10"/>
        <v>100</v>
      </c>
      <c r="AA32" s="17"/>
      <c r="AB32" s="56">
        <f t="shared" si="11"/>
        <v>100</v>
      </c>
      <c r="AC32" s="50"/>
      <c r="AE32" t="str">
        <f t="shared" si="13"/>
        <v>PERCENTUAL CORRETO</v>
      </c>
    </row>
    <row r="33" spans="1:31" x14ac:dyDescent="0.25">
      <c r="A33" s="55" t="s">
        <v>397</v>
      </c>
      <c r="B33" s="15" t="str">
        <f>ORÇAMENTO!C81</f>
        <v>SERVIÇOS COMPLEMENTARES - ELÉTRICA</v>
      </c>
      <c r="C33" s="16">
        <f>ORÇAMENTO!G81</f>
        <v>147780.06</v>
      </c>
      <c r="D33" s="24">
        <f t="shared" si="12"/>
        <v>1.565747173553881E-2</v>
      </c>
      <c r="E33" s="17">
        <v>100</v>
      </c>
      <c r="F33" s="16">
        <f t="shared" si="0"/>
        <v>100</v>
      </c>
      <c r="G33" s="17"/>
      <c r="H33" s="16">
        <f t="shared" si="1"/>
        <v>100</v>
      </c>
      <c r="I33" s="17"/>
      <c r="J33" s="16">
        <f t="shared" si="2"/>
        <v>100</v>
      </c>
      <c r="K33" s="17"/>
      <c r="L33" s="16">
        <f t="shared" si="3"/>
        <v>100</v>
      </c>
      <c r="M33" s="17"/>
      <c r="N33" s="16">
        <f t="shared" si="4"/>
        <v>100</v>
      </c>
      <c r="O33" s="18"/>
      <c r="P33" s="16">
        <f t="shared" si="5"/>
        <v>100</v>
      </c>
      <c r="Q33" s="18"/>
      <c r="R33" s="16">
        <f t="shared" si="6"/>
        <v>100</v>
      </c>
      <c r="S33" s="18"/>
      <c r="T33" s="77">
        <f t="shared" si="7"/>
        <v>100</v>
      </c>
      <c r="U33" s="17"/>
      <c r="V33" s="16">
        <f t="shared" si="8"/>
        <v>100</v>
      </c>
      <c r="W33" s="17"/>
      <c r="X33" s="16">
        <f t="shared" si="9"/>
        <v>100</v>
      </c>
      <c r="Y33" s="17"/>
      <c r="Z33" s="16">
        <f t="shared" si="10"/>
        <v>100</v>
      </c>
      <c r="AA33" s="17"/>
      <c r="AB33" s="56">
        <f t="shared" si="11"/>
        <v>100</v>
      </c>
      <c r="AC33" s="50"/>
      <c r="AE33" t="str">
        <f t="shared" si="13"/>
        <v>PERCENTUAL CORRETO</v>
      </c>
    </row>
    <row r="34" spans="1:31" x14ac:dyDescent="0.25">
      <c r="A34" s="55" t="s">
        <v>398</v>
      </c>
      <c r="B34" s="15" t="str">
        <f>ORÇAMENTO!C83</f>
        <v>SERVIÇOS COMPLEMENTARES - PASSEIOS</v>
      </c>
      <c r="C34" s="16">
        <f>ORÇAMENTO!G83</f>
        <v>294143.65000000002</v>
      </c>
      <c r="D34" s="24">
        <f t="shared" si="12"/>
        <v>3.1164866803161537E-2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>
        <v>8.5420813945839029</v>
      </c>
      <c r="N34" s="16">
        <f t="shared" si="4"/>
        <v>8.5420813945839029</v>
      </c>
      <c r="O34" s="18">
        <v>11.211243213987451</v>
      </c>
      <c r="P34" s="16">
        <f t="shared" si="5"/>
        <v>19.753324608571354</v>
      </c>
      <c r="Q34" s="18">
        <v>10.676647277614187</v>
      </c>
      <c r="R34" s="16">
        <f t="shared" si="6"/>
        <v>30.429971886185541</v>
      </c>
      <c r="S34" s="18">
        <v>10.676647277614187</v>
      </c>
      <c r="T34" s="77">
        <f t="shared" si="7"/>
        <v>41.106619163799728</v>
      </c>
      <c r="U34" s="17">
        <v>10.676647277614187</v>
      </c>
      <c r="V34" s="16">
        <f t="shared" si="8"/>
        <v>51.783266441413915</v>
      </c>
      <c r="W34" s="17">
        <v>12.066593992425128</v>
      </c>
      <c r="X34" s="16">
        <f t="shared" si="9"/>
        <v>63.849860433839041</v>
      </c>
      <c r="Y34" s="17">
        <v>12.815031023107245</v>
      </c>
      <c r="Z34" s="16">
        <f t="shared" si="10"/>
        <v>76.664891456946293</v>
      </c>
      <c r="AA34" s="17">
        <v>23.33510854305371</v>
      </c>
      <c r="AB34" s="56">
        <f t="shared" si="11"/>
        <v>100</v>
      </c>
      <c r="AC34" s="50"/>
      <c r="AE34" t="str">
        <f t="shared" si="13"/>
        <v>PERCENTUAL CORRETO</v>
      </c>
    </row>
    <row r="35" spans="1:31" x14ac:dyDescent="0.25">
      <c r="A35" s="55" t="s">
        <v>399</v>
      </c>
      <c r="B35" s="15" t="str">
        <f>ORÇAMENTO!C85</f>
        <v>SINALIZAÇÃO</v>
      </c>
      <c r="C35" s="16">
        <f>ORÇAMENTO!G85</f>
        <v>160885.35999999999</v>
      </c>
      <c r="D35" s="24">
        <f t="shared" si="12"/>
        <v>1.7045993734621474E-2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>
        <v>0</v>
      </c>
      <c r="P35" s="16">
        <f t="shared" si="5"/>
        <v>0</v>
      </c>
      <c r="Q35" s="18">
        <v>0</v>
      </c>
      <c r="R35" s="16">
        <f t="shared" si="6"/>
        <v>0</v>
      </c>
      <c r="S35" s="18">
        <v>22.664113129995172</v>
      </c>
      <c r="T35" s="77">
        <f t="shared" si="7"/>
        <v>22.664113129995172</v>
      </c>
      <c r="U35" s="17">
        <v>18.426511896421154</v>
      </c>
      <c r="V35" s="16">
        <f t="shared" si="8"/>
        <v>41.090625026416326</v>
      </c>
      <c r="W35" s="17">
        <v>14.123454116645542</v>
      </c>
      <c r="X35" s="16">
        <f t="shared" si="9"/>
        <v>55.214079143061866</v>
      </c>
      <c r="Y35" s="17">
        <v>22.199247961405565</v>
      </c>
      <c r="Z35" s="16">
        <f t="shared" si="10"/>
        <v>77.413327104467427</v>
      </c>
      <c r="AA35" s="17">
        <v>22.586672895532573</v>
      </c>
      <c r="AB35" s="56">
        <f t="shared" si="11"/>
        <v>100</v>
      </c>
      <c r="AC35" s="50"/>
      <c r="AE35" t="str">
        <f t="shared" si="13"/>
        <v>PERCENTUAL CORRETO</v>
      </c>
    </row>
    <row r="36" spans="1:31" x14ac:dyDescent="0.25">
      <c r="A36" s="55" t="s">
        <v>400</v>
      </c>
      <c r="B36" s="15" t="str">
        <f>ORÇAMENTO!C99</f>
        <v>ILUMINAÇÃO</v>
      </c>
      <c r="C36" s="16">
        <f>ORÇAMENTO!G99</f>
        <v>437372.05</v>
      </c>
      <c r="D36" s="24">
        <f t="shared" si="12"/>
        <v>4.6340084790801053E-2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>
        <v>9.25287521230495</v>
      </c>
      <c r="P36" s="16">
        <f t="shared" si="5"/>
        <v>9.25287521230495</v>
      </c>
      <c r="Q36" s="18">
        <v>11.19654765319366</v>
      </c>
      <c r="R36" s="16">
        <f t="shared" si="6"/>
        <v>20.449422865498612</v>
      </c>
      <c r="S36" s="18">
        <v>12.00005807412705</v>
      </c>
      <c r="T36" s="77">
        <f t="shared" si="7"/>
        <v>32.449480939625658</v>
      </c>
      <c r="U36" s="17">
        <v>10.970927383219848</v>
      </c>
      <c r="V36" s="16">
        <f t="shared" si="8"/>
        <v>43.420408322845503</v>
      </c>
      <c r="W36" s="17">
        <v>18.082817592024909</v>
      </c>
      <c r="X36" s="16">
        <f t="shared" si="9"/>
        <v>61.503225914870413</v>
      </c>
      <c r="Y36" s="17">
        <v>18.380102249332118</v>
      </c>
      <c r="Z36" s="16">
        <f t="shared" si="10"/>
        <v>79.883328164202538</v>
      </c>
      <c r="AA36" s="17">
        <v>20.116671835797469</v>
      </c>
      <c r="AB36" s="56">
        <f t="shared" si="11"/>
        <v>100</v>
      </c>
      <c r="AC36" s="50"/>
      <c r="AE36" t="str">
        <f t="shared" si="13"/>
        <v>PERCENTUAL CORRETO</v>
      </c>
    </row>
    <row r="37" spans="1:31" x14ac:dyDescent="0.25">
      <c r="A37" s="55" t="s">
        <v>401</v>
      </c>
      <c r="B37" s="15" t="str">
        <f>ORÇAMENTO!C118</f>
        <v xml:space="preserve">CANTEIRO DE OBRAS </v>
      </c>
      <c r="C37" s="16">
        <f>ORÇAMENTO!G118</f>
        <v>192543.2</v>
      </c>
      <c r="D37" s="24">
        <f t="shared" si="12"/>
        <v>2.0400179238458799E-2</v>
      </c>
      <c r="E37" s="17"/>
      <c r="F37" s="16">
        <f t="shared" si="0"/>
        <v>0</v>
      </c>
      <c r="G37" s="17">
        <v>100</v>
      </c>
      <c r="H37" s="16">
        <f t="shared" si="1"/>
        <v>100</v>
      </c>
      <c r="I37" s="17"/>
      <c r="J37" s="16">
        <f t="shared" si="2"/>
        <v>100</v>
      </c>
      <c r="K37" s="17"/>
      <c r="L37" s="16">
        <f t="shared" si="3"/>
        <v>100</v>
      </c>
      <c r="M37" s="17"/>
      <c r="N37" s="16">
        <f t="shared" si="4"/>
        <v>100</v>
      </c>
      <c r="O37" s="18"/>
      <c r="P37" s="16">
        <f t="shared" si="5"/>
        <v>100</v>
      </c>
      <c r="Q37" s="18"/>
      <c r="R37" s="16">
        <f t="shared" si="6"/>
        <v>100</v>
      </c>
      <c r="S37" s="18"/>
      <c r="T37" s="77">
        <f t="shared" si="7"/>
        <v>100</v>
      </c>
      <c r="U37" s="17"/>
      <c r="V37" s="16">
        <f t="shared" si="8"/>
        <v>100</v>
      </c>
      <c r="W37" s="17"/>
      <c r="X37" s="16">
        <f t="shared" si="9"/>
        <v>100</v>
      </c>
      <c r="Y37" s="17"/>
      <c r="Z37" s="16">
        <f t="shared" si="10"/>
        <v>100</v>
      </c>
      <c r="AA37" s="17"/>
      <c r="AB37" s="56">
        <f t="shared" si="11"/>
        <v>100</v>
      </c>
      <c r="AC37" s="50"/>
      <c r="AE37" t="str">
        <f t="shared" si="13"/>
        <v>PERCENTUAL CORRETO</v>
      </c>
    </row>
    <row r="38" spans="1:31" x14ac:dyDescent="0.25">
      <c r="A38" s="55" t="s">
        <v>402</v>
      </c>
      <c r="B38" s="15" t="str">
        <f>ORÇAMENTO!C120</f>
        <v>MOBILIZAÇÃO DE EQUIPAMENTOS</v>
      </c>
      <c r="C38" s="16">
        <f>ORÇAMENTO!G120</f>
        <v>122610.62</v>
      </c>
      <c r="D38" s="24">
        <f t="shared" si="12"/>
        <v>1.2990739867928657E-2</v>
      </c>
      <c r="E38" s="17">
        <v>100</v>
      </c>
      <c r="F38" s="16">
        <f t="shared" si="0"/>
        <v>100</v>
      </c>
      <c r="G38" s="17"/>
      <c r="H38" s="16">
        <f t="shared" si="1"/>
        <v>100</v>
      </c>
      <c r="I38" s="17"/>
      <c r="J38" s="16">
        <f t="shared" si="2"/>
        <v>100</v>
      </c>
      <c r="K38" s="17"/>
      <c r="L38" s="16">
        <f t="shared" si="3"/>
        <v>100</v>
      </c>
      <c r="M38" s="17"/>
      <c r="N38" s="16">
        <f t="shared" si="4"/>
        <v>100</v>
      </c>
      <c r="O38" s="18"/>
      <c r="P38" s="16">
        <f t="shared" si="5"/>
        <v>100</v>
      </c>
      <c r="Q38" s="18"/>
      <c r="R38" s="16">
        <f t="shared" si="6"/>
        <v>100</v>
      </c>
      <c r="S38" s="18"/>
      <c r="T38" s="77">
        <f t="shared" si="7"/>
        <v>100</v>
      </c>
      <c r="U38" s="17"/>
      <c r="V38" s="16">
        <f t="shared" si="8"/>
        <v>100</v>
      </c>
      <c r="W38" s="17"/>
      <c r="X38" s="16">
        <f t="shared" si="9"/>
        <v>100</v>
      </c>
      <c r="Y38" s="17"/>
      <c r="Z38" s="16">
        <f t="shared" si="10"/>
        <v>100</v>
      </c>
      <c r="AA38" s="17"/>
      <c r="AB38" s="56">
        <f t="shared" si="11"/>
        <v>100</v>
      </c>
      <c r="AC38" s="50"/>
      <c r="AE38" t="str">
        <f t="shared" si="13"/>
        <v>PERCENTUAL CORRETO</v>
      </c>
    </row>
    <row r="39" spans="1:31" x14ac:dyDescent="0.25">
      <c r="A39" s="55" t="s">
        <v>403</v>
      </c>
      <c r="B39" s="15" t="str">
        <f>ORÇAMENTO!C122</f>
        <v>DESMOBILIZAÇÃO DE EQUIPAMENTOS</v>
      </c>
      <c r="C39" s="16">
        <f>ORÇAMENTO!G122</f>
        <v>122610.62</v>
      </c>
      <c r="D39" s="24">
        <f t="shared" si="12"/>
        <v>1.2990739867928657E-2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77">
        <f t="shared" si="7"/>
        <v>0</v>
      </c>
      <c r="U39" s="17"/>
      <c r="V39" s="16">
        <f t="shared" si="8"/>
        <v>0</v>
      </c>
      <c r="W39" s="17"/>
      <c r="X39" s="16">
        <f t="shared" si="9"/>
        <v>0</v>
      </c>
      <c r="Y39" s="17"/>
      <c r="Z39" s="16">
        <f t="shared" si="10"/>
        <v>0</v>
      </c>
      <c r="AA39" s="17">
        <v>100</v>
      </c>
      <c r="AB39" s="56">
        <f t="shared" si="11"/>
        <v>100</v>
      </c>
      <c r="AC39" s="50"/>
      <c r="AE39" t="str">
        <f t="shared" si="13"/>
        <v>PERCENTUAL CORRETO</v>
      </c>
    </row>
    <row r="40" spans="1:31" hidden="1" x14ac:dyDescent="0.25">
      <c r="A40" s="55"/>
      <c r="B40" s="15"/>
      <c r="C40" s="16"/>
      <c r="D40" s="24">
        <f t="shared" si="12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77">
        <f t="shared" si="7"/>
        <v>0</v>
      </c>
      <c r="U40" s="17"/>
      <c r="V40" s="16">
        <f t="shared" si="8"/>
        <v>0</v>
      </c>
      <c r="W40" s="17"/>
      <c r="X40" s="16">
        <f t="shared" si="9"/>
        <v>0</v>
      </c>
      <c r="Y40" s="17"/>
      <c r="Z40" s="16">
        <f t="shared" si="10"/>
        <v>0</v>
      </c>
      <c r="AA40" s="17"/>
      <c r="AB40" s="56">
        <f t="shared" si="11"/>
        <v>0</v>
      </c>
      <c r="AC40" s="50"/>
      <c r="AE40" t="str">
        <f t="shared" si="13"/>
        <v>REVER PERCENTUAL ATÉ ATINGIR 100%- CASO NECESSÁRIO</v>
      </c>
    </row>
    <row r="41" spans="1:31" hidden="1" x14ac:dyDescent="0.25">
      <c r="A41" s="55"/>
      <c r="B41" s="15"/>
      <c r="C41" s="16"/>
      <c r="D41" s="24">
        <f t="shared" si="12"/>
        <v>0</v>
      </c>
      <c r="E41" s="17"/>
      <c r="F41" s="16">
        <f t="shared" ref="F41:F43" si="14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6">
        <f>P41+Q41</f>
        <v>0</v>
      </c>
      <c r="S41" s="18"/>
      <c r="T41" s="77">
        <f>R41+S41</f>
        <v>0</v>
      </c>
      <c r="U41" s="17"/>
      <c r="V41" s="16">
        <f>T41+U41</f>
        <v>0</v>
      </c>
      <c r="W41" s="17"/>
      <c r="X41" s="16">
        <f>V41+W41</f>
        <v>0</v>
      </c>
      <c r="Y41" s="17"/>
      <c r="Z41" s="16">
        <f>X41+Y41</f>
        <v>0</v>
      </c>
      <c r="AA41" s="17"/>
      <c r="AB41" s="56">
        <f>Z41+AA41</f>
        <v>0</v>
      </c>
      <c r="AC41" s="50"/>
      <c r="AE41" t="str">
        <f t="shared" si="13"/>
        <v>REVER PERCENTUAL ATÉ ATINGIR 100%- CASO NECESSÁRIO</v>
      </c>
    </row>
    <row r="42" spans="1:31" hidden="1" x14ac:dyDescent="0.25">
      <c r="A42" s="55"/>
      <c r="B42" s="15"/>
      <c r="C42" s="16"/>
      <c r="D42" s="24">
        <f t="shared" si="12"/>
        <v>0</v>
      </c>
      <c r="E42" s="17"/>
      <c r="F42" s="16">
        <f t="shared" si="14"/>
        <v>0</v>
      </c>
      <c r="G42" s="17"/>
      <c r="H42" s="16">
        <f t="shared" ref="H42" si="15">F42+G42</f>
        <v>0</v>
      </c>
      <c r="I42" s="17"/>
      <c r="J42" s="16">
        <f t="shared" ref="J42" si="16">H42+I42</f>
        <v>0</v>
      </c>
      <c r="K42" s="17"/>
      <c r="L42" s="16">
        <f t="shared" ref="L42" si="17">J42+K42</f>
        <v>0</v>
      </c>
      <c r="M42" s="17"/>
      <c r="N42" s="16">
        <f t="shared" ref="N42" si="18">L42+M42</f>
        <v>0</v>
      </c>
      <c r="O42" s="18"/>
      <c r="P42" s="16">
        <f t="shared" ref="P42" si="19">N42+O42</f>
        <v>0</v>
      </c>
      <c r="Q42" s="18"/>
      <c r="R42" s="16">
        <f t="shared" ref="R42:R43" si="20">P42+Q42</f>
        <v>0</v>
      </c>
      <c r="S42" s="18"/>
      <c r="T42" s="77">
        <f t="shared" ref="T42:T43" si="21">R42+S42</f>
        <v>0</v>
      </c>
      <c r="U42" s="17"/>
      <c r="V42" s="16">
        <f t="shared" ref="V42:V43" si="22">T42+U42</f>
        <v>0</v>
      </c>
      <c r="W42" s="17"/>
      <c r="X42" s="16">
        <f t="shared" ref="X42:X43" si="23">V42+W42</f>
        <v>0</v>
      </c>
      <c r="Y42" s="17"/>
      <c r="Z42" s="16">
        <f t="shared" ref="Z42:Z43" si="24">X42+Y42</f>
        <v>0</v>
      </c>
      <c r="AA42" s="17"/>
      <c r="AB42" s="56">
        <f t="shared" ref="AB42:AB43" si="25">Z42+AA42</f>
        <v>0</v>
      </c>
      <c r="AC42" s="50"/>
      <c r="AE42" t="str">
        <f t="shared" si="13"/>
        <v>REVER PERCENTUAL ATÉ ATINGIR 100%- CASO NECESSÁRIO</v>
      </c>
    </row>
    <row r="43" spans="1:31" x14ac:dyDescent="0.25">
      <c r="A43" s="55"/>
      <c r="B43" s="15"/>
      <c r="C43" s="16"/>
      <c r="D43" s="46">
        <f>((C43*100)/$C$45)/100</f>
        <v>0</v>
      </c>
      <c r="E43" s="17"/>
      <c r="F43" s="16">
        <f t="shared" si="14"/>
        <v>0</v>
      </c>
      <c r="G43" s="17"/>
      <c r="H43" s="16">
        <f t="shared" ref="H43" si="26">F43+G43</f>
        <v>0</v>
      </c>
      <c r="I43" s="17"/>
      <c r="J43" s="16">
        <f t="shared" ref="J43" si="27">H43+I43</f>
        <v>0</v>
      </c>
      <c r="K43" s="42"/>
      <c r="L43" s="16">
        <f t="shared" ref="L43" si="28">J43+K43</f>
        <v>0</v>
      </c>
      <c r="M43" s="42"/>
      <c r="N43" s="16">
        <f t="shared" ref="N43" si="29">L43+M43</f>
        <v>0</v>
      </c>
      <c r="O43" s="43"/>
      <c r="P43" s="16">
        <f t="shared" ref="P43" si="30">N43+O43</f>
        <v>0</v>
      </c>
      <c r="Q43" s="43"/>
      <c r="R43" s="16">
        <f t="shared" si="20"/>
        <v>0</v>
      </c>
      <c r="S43" s="43"/>
      <c r="T43" s="77">
        <f t="shared" si="21"/>
        <v>0</v>
      </c>
      <c r="U43" s="42"/>
      <c r="V43" s="16">
        <f t="shared" si="22"/>
        <v>0</v>
      </c>
      <c r="W43" s="42"/>
      <c r="X43" s="16">
        <f t="shared" si="23"/>
        <v>0</v>
      </c>
      <c r="Y43" s="42"/>
      <c r="Z43" s="16">
        <f t="shared" si="24"/>
        <v>0</v>
      </c>
      <c r="AA43" s="42"/>
      <c r="AB43" s="56">
        <f t="shared" si="25"/>
        <v>0</v>
      </c>
      <c r="AC43" s="50"/>
    </row>
    <row r="44" spans="1:31" x14ac:dyDescent="0.25">
      <c r="A44" s="57"/>
      <c r="B44" s="19" t="s">
        <v>25</v>
      </c>
      <c r="C44" s="25">
        <f>C45/SUM(C17:C42)</f>
        <v>1</v>
      </c>
      <c r="D44" s="25">
        <f>SUM(D17:D43)</f>
        <v>1.0000000000000004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5.3093658809905311E-2</v>
      </c>
      <c r="F44" s="26">
        <f>E44</f>
        <v>5.3093658809905311E-2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5.0392425000044219E-2</v>
      </c>
      <c r="H44" s="26">
        <f>F44+G44</f>
        <v>0.10348608380994953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5.4490941912061108E-2</v>
      </c>
      <c r="J44" s="26">
        <f>H44+I44</f>
        <v>0.15797702572201064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8.6911013404039547E-2</v>
      </c>
      <c r="L44" s="26">
        <f>J44+K44</f>
        <v>0.24488803912605017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8.2995547286174295E-2</v>
      </c>
      <c r="N44" s="26">
        <f>L44+M44</f>
        <v>0.32788358641222448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8.4250331348806662E-2</v>
      </c>
      <c r="P44" s="26">
        <f>N44+O44</f>
        <v>0.41213391776103114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9.6405277452432062E-2</v>
      </c>
      <c r="R44" s="26">
        <f>P44+Q44</f>
        <v>0.50853919521346325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0.11631585205012408</v>
      </c>
      <c r="T44" s="78">
        <f>R44+S44</f>
        <v>0.62485504726358732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7.120814688543535E-2</v>
      </c>
      <c r="V44" s="26">
        <f>T44+U44</f>
        <v>0.69606319414902262</v>
      </c>
      <c r="W44" s="26">
        <f>(($D$17*W17)/100)+ (($D$18*W18)/100)+ (($D$19*W19)/100)+ (($D$20*W20)/100)+ 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</f>
        <v>7.8248608093125616E-2</v>
      </c>
      <c r="X44" s="26">
        <f>V44+W44</f>
        <v>0.77431180224214824</v>
      </c>
      <c r="Y44" s="26">
        <f>(($D$17*Y17)/100)+ (($D$18*Y18)/100)+ (($D$19*Y19)/100)+ (($D$20*Y20)/100)+ (($D$21*Y21)/100)+ (($D$22*Y22)/100)+ (($D$23*Y23)/100)+ (($D$24*Y24)/100)+ (($D$25*Y25)/100)+ (($D$26*Y26)/100)+ (($D$27*Y27)/100)+ (($D$28*Y28)/100)+ (($D$29*Y29)/100)+ (($D$30*Y30)/100)+ (($D$31*Y31)/100)+ (($D$32*Y32)/100)+ (($D$33*Y33)/100)+ (($D$34*Y34)/100)+ (($D$35*Y35)/100)+ (($D$36*Y36)/100)+ (($D$37*Y37)/100)+ (($D$38*Y38)/100)+ (($D$39*Y39)/100)+ (($D$40*Y40)/100)+ (($D$41*Y41)/100)+ (($D$42*Y42)/100)</f>
        <v>9.8299901750517268E-2</v>
      </c>
      <c r="Z44" s="26">
        <f>X44+Y44</f>
        <v>0.87261170399266552</v>
      </c>
      <c r="AA44" s="26">
        <f>(($D$17*AA17)/100)+ (($D$18*AA18)/100)+ (($D$19*AA19)/100)+ (($D$20*AA20)/100)+ (($D$21*AA21)/100)+ (($D$22*AA22)/100)+ (($D$23*AA23)/100)+ (($D$24*AA24)/100)+ (($D$25*AA25)/100)+ (($D$26*AA26)/100)+ (($D$27*AA27)/100)+ (($D$28*AA28)/100)+ (($D$29*AA29)/100)+ (($D$30*AA30)/100)+ (($D$31*AA31)/100)+ (($D$32*AA32)/100)+ (($D$33*AA33)/100)+ (($D$34*AA34)/100)+ (($D$35*AA35)/100)+ (($D$36*AA36)/100)+ (($D$37*AA37)/100)+ (($D$38*AA38)/100)+ (($D$39*AA39)/100)+ (($D$40*AA40)/100)+ (($D$41*AA41)/100)+ (($D$42*AA42)/100)</f>
        <v>0.12738829600733481</v>
      </c>
      <c r="AB44" s="79">
        <f>Z44+AA44</f>
        <v>1.0000000000000004</v>
      </c>
      <c r="AC44" s="51"/>
    </row>
    <row r="45" spans="1:31" x14ac:dyDescent="0.25">
      <c r="A45" s="58"/>
      <c r="B45" s="21" t="s">
        <v>26</v>
      </c>
      <c r="C45" s="20">
        <f>SUM(C17:C43)</f>
        <v>9438309.2299999967</v>
      </c>
      <c r="D45" s="25">
        <f>D44</f>
        <v>1.0000000000000004</v>
      </c>
      <c r="E45" s="98">
        <f>($C$45*E44)</f>
        <v>501114.36999999994</v>
      </c>
      <c r="F45" s="98"/>
      <c r="G45" s="98">
        <f t="shared" ref="G45" si="31">($C$45*G44)</f>
        <v>475619.28999999992</v>
      </c>
      <c r="H45" s="98"/>
      <c r="I45" s="98">
        <f t="shared" ref="I45" si="32">($C$45*I44)</f>
        <v>514302.36000000004</v>
      </c>
      <c r="J45" s="98"/>
      <c r="K45" s="98">
        <f t="shared" ref="K45" si="33">($C$45*K44)</f>
        <v>820293.0199999999</v>
      </c>
      <c r="L45" s="98"/>
      <c r="M45" s="98">
        <f t="shared" ref="M45" si="34">($C$45*M44)</f>
        <v>783337.64</v>
      </c>
      <c r="N45" s="98"/>
      <c r="O45" s="98">
        <f t="shared" ref="O45" si="35">($C$45*O44)</f>
        <v>795180.67999999993</v>
      </c>
      <c r="P45" s="98"/>
      <c r="Q45" s="98">
        <f t="shared" ref="Q45" si="36">($C$45*Q44)</f>
        <v>909902.82000000007</v>
      </c>
      <c r="R45" s="98"/>
      <c r="S45" s="98">
        <f t="shared" ref="S45" si="37">($C$45*S44)</f>
        <v>1097824.9800000002</v>
      </c>
      <c r="T45" s="102"/>
      <c r="U45" s="98">
        <f t="shared" ref="U45:W45" si="38">($C$45*U44)</f>
        <v>672084.51</v>
      </c>
      <c r="V45" s="98"/>
      <c r="W45" s="98">
        <f t="shared" si="38"/>
        <v>738534.55999999994</v>
      </c>
      <c r="X45" s="98"/>
      <c r="Y45" s="98">
        <f t="shared" ref="Y45" si="39">($C$45*Y44)</f>
        <v>927784.87</v>
      </c>
      <c r="Z45" s="98"/>
      <c r="AA45" s="98">
        <f t="shared" ref="AA45" si="40">($C$45*AA44)</f>
        <v>1202330.1299999999</v>
      </c>
      <c r="AB45" s="99"/>
      <c r="AC45" s="52"/>
    </row>
    <row r="46" spans="1:31" ht="15.75" thickBot="1" x14ac:dyDescent="0.3">
      <c r="A46" s="59"/>
      <c r="B46" s="60" t="s">
        <v>27</v>
      </c>
      <c r="C46" s="61"/>
      <c r="D46" s="61"/>
      <c r="E46" s="100">
        <f>E45</f>
        <v>501114.36999999994</v>
      </c>
      <c r="F46" s="100"/>
      <c r="G46" s="100">
        <f>G45+E46</f>
        <v>976733.65999999992</v>
      </c>
      <c r="H46" s="100"/>
      <c r="I46" s="100">
        <f t="shared" ref="I46" si="41">I45+G46</f>
        <v>1491036.02</v>
      </c>
      <c r="J46" s="100"/>
      <c r="K46" s="100">
        <f t="shared" ref="K46" si="42">K45+I46</f>
        <v>2311329.04</v>
      </c>
      <c r="L46" s="100"/>
      <c r="M46" s="100">
        <f t="shared" ref="M46" si="43">M45+K46</f>
        <v>3094666.68</v>
      </c>
      <c r="N46" s="100"/>
      <c r="O46" s="100">
        <f t="shared" ref="O46" si="44">O45+M46</f>
        <v>3889847.3600000003</v>
      </c>
      <c r="P46" s="100"/>
      <c r="Q46" s="100">
        <f t="shared" ref="Q46" si="45">Q45+O46</f>
        <v>4799750.1800000006</v>
      </c>
      <c r="R46" s="100"/>
      <c r="S46" s="100">
        <f t="shared" ref="S46" si="46">S45+Q46</f>
        <v>5897575.1600000011</v>
      </c>
      <c r="T46" s="103"/>
      <c r="U46" s="100">
        <f t="shared" ref="U46" si="47">U45+S46</f>
        <v>6569659.6700000009</v>
      </c>
      <c r="V46" s="100"/>
      <c r="W46" s="100">
        <f t="shared" ref="W46" si="48">W45+U46</f>
        <v>7308194.2300000004</v>
      </c>
      <c r="X46" s="100"/>
      <c r="Y46" s="100">
        <f t="shared" ref="Y46" si="49">Y45+W46</f>
        <v>8235979.1000000006</v>
      </c>
      <c r="Z46" s="100"/>
      <c r="AA46" s="100">
        <f t="shared" ref="AA46" si="50">AA45+Y46</f>
        <v>9438309.2300000004</v>
      </c>
      <c r="AB46" s="101"/>
      <c r="AC46" s="52"/>
    </row>
    <row r="47" spans="1:31" x14ac:dyDescent="0.25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</row>
    <row r="48" spans="1:31" x14ac:dyDescent="0.25">
      <c r="A48" s="135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</row>
    <row r="49" spans="1:29" x14ac:dyDescent="0.25">
      <c r="A49" s="135"/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</row>
    <row r="50" spans="1:29" x14ac:dyDescent="0.25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</row>
    <row r="51" spans="1:29" x14ac:dyDescent="0.25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23"/>
    </row>
    <row r="52" spans="1:29" x14ac:dyDescent="0.25">
      <c r="A52" s="23" t="s">
        <v>30</v>
      </c>
      <c r="B52" s="23"/>
      <c r="C52" s="23"/>
      <c r="D52" s="23" t="s">
        <v>46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</row>
    <row r="55" spans="1:29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</row>
    <row r="56" spans="1:29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</row>
    <row r="57" spans="1:29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</row>
    <row r="58" spans="1:29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</row>
    <row r="59" spans="1:29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</row>
    <row r="60" spans="1:29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</row>
  </sheetData>
  <sheetProtection algorithmName="SHA-512" hashValue="YYG0yXfyE43nB4j4+TJGG5BszGcMt4nFQkkah6DLTq/XioUCc49RGolW5KRW5oZkeNcXUBjkd2qUc/G4380+kw==" saltValue="FpdbyvaoipnCHYNWYcBIyg==" spinCount="100000" sheet="1" objects="1" scenarios="1" selectLockedCells="1"/>
  <mergeCells count="40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  <mergeCell ref="AA15:AB15"/>
    <mergeCell ref="AA45:AB45"/>
    <mergeCell ref="AA46:AB46"/>
    <mergeCell ref="W15:X15"/>
    <mergeCell ref="W45:X45"/>
    <mergeCell ref="W46:X46"/>
    <mergeCell ref="Y15:Z15"/>
    <mergeCell ref="Y45:Z45"/>
    <mergeCell ref="Y46:Z46"/>
  </mergeCells>
  <phoneticPr fontId="24" type="noConversion"/>
  <conditionalFormatting sqref="F17:F43 P17:P43 R17:R43 T17:T43">
    <cfRule type="cellIs" dxfId="43" priority="55" stopIfTrue="1" operator="equal">
      <formula>D17+F17-100</formula>
    </cfRule>
  </conditionalFormatting>
  <conditionalFormatting sqref="H17:H43">
    <cfRule type="cellIs" dxfId="42" priority="51" stopIfTrue="1" operator="equal">
      <formula>F17+H17-100</formula>
    </cfRule>
  </conditionalFormatting>
  <conditionalFormatting sqref="J17:J43">
    <cfRule type="cellIs" dxfId="41" priority="52" stopIfTrue="1" operator="equal">
      <formula>H17+J17-100</formula>
    </cfRule>
  </conditionalFormatting>
  <conditionalFormatting sqref="L17:L43">
    <cfRule type="cellIs" dxfId="40" priority="53" stopIfTrue="1" operator="equal">
      <formula>J17+L17-100</formula>
    </cfRule>
  </conditionalFormatting>
  <conditionalFormatting sqref="N17:N43">
    <cfRule type="cellIs" dxfId="39" priority="54" stopIfTrue="1" operator="equal">
      <formula>L17+N17-100</formula>
    </cfRule>
  </conditionalFormatting>
  <conditionalFormatting sqref="AB17:AC43 F17:F43 H17:H43 J17:J43 L17:L43 N17:N43 P17:P43 R17:R43 T17:T43 V17:V43 X17:X43 Z17:Z43">
    <cfRule type="cellIs" dxfId="38" priority="44" operator="equal">
      <formula>0</formula>
    </cfRule>
  </conditionalFormatting>
  <conditionalFormatting sqref="V17:V43">
    <cfRule type="cellIs" dxfId="37" priority="34" stopIfTrue="1" operator="equal">
      <formula>T17+V17-100</formula>
    </cfRule>
  </conditionalFormatting>
  <conditionalFormatting sqref="X17:X43">
    <cfRule type="cellIs" dxfId="36" priority="33" stopIfTrue="1" operator="equal">
      <formula>V17+X17-100</formula>
    </cfRule>
  </conditionalFormatting>
  <conditionalFormatting sqref="Z17:Z43">
    <cfRule type="cellIs" dxfId="35" priority="32" stopIfTrue="1" operator="equal">
      <formula>X17+Z17-100</formula>
    </cfRule>
  </conditionalFormatting>
  <conditionalFormatting sqref="AB17:AB43">
    <cfRule type="cellIs" dxfId="34" priority="31" stopIfTrue="1" operator="equal">
      <formula>Z17+AB17-100</formula>
    </cfRule>
  </conditionalFormatting>
  <conditionalFormatting sqref="AC17:AC43">
    <cfRule type="cellIs" dxfId="33" priority="57" stopIfTrue="1" operator="equal">
      <formula>O17+AC17-100</formula>
    </cfRule>
  </conditionalFormatting>
  <conditionalFormatting sqref="L27">
    <cfRule type="cellIs" dxfId="31" priority="28" stopIfTrue="1" operator="equal">
      <formula>J27+L27-100</formula>
    </cfRule>
  </conditionalFormatting>
  <conditionalFormatting sqref="N27">
    <cfRule type="cellIs" dxfId="30" priority="27" stopIfTrue="1" operator="equal">
      <formula>L27+N27-100</formula>
    </cfRule>
  </conditionalFormatting>
  <conditionalFormatting sqref="N27">
    <cfRule type="cellIs" dxfId="29" priority="26" stopIfTrue="1" operator="equal">
      <formula>L27+N27-100</formula>
    </cfRule>
  </conditionalFormatting>
  <conditionalFormatting sqref="P27">
    <cfRule type="cellIs" dxfId="28" priority="25" stopIfTrue="1" operator="equal">
      <formula>N27+P27-100</formula>
    </cfRule>
  </conditionalFormatting>
  <conditionalFormatting sqref="P27">
    <cfRule type="cellIs" dxfId="27" priority="24" stopIfTrue="1" operator="equal">
      <formula>N27+P27-100</formula>
    </cfRule>
  </conditionalFormatting>
  <conditionalFormatting sqref="P27">
    <cfRule type="cellIs" dxfId="26" priority="23" stopIfTrue="1" operator="equal">
      <formula>N27+P27-100</formula>
    </cfRule>
  </conditionalFormatting>
  <conditionalFormatting sqref="R27">
    <cfRule type="cellIs" dxfId="25" priority="22" stopIfTrue="1" operator="equal">
      <formula>P27+R27-100</formula>
    </cfRule>
  </conditionalFormatting>
  <conditionalFormatting sqref="R27">
    <cfRule type="cellIs" dxfId="24" priority="21" stopIfTrue="1" operator="equal">
      <formula>P27+R27-100</formula>
    </cfRule>
  </conditionalFormatting>
  <conditionalFormatting sqref="R27">
    <cfRule type="cellIs" dxfId="23" priority="20" stopIfTrue="1" operator="equal">
      <formula>P27+R27-100</formula>
    </cfRule>
  </conditionalFormatting>
  <conditionalFormatting sqref="T27">
    <cfRule type="cellIs" dxfId="22" priority="19" stopIfTrue="1" operator="equal">
      <formula>R27+T27-100</formula>
    </cfRule>
  </conditionalFormatting>
  <conditionalFormatting sqref="T27">
    <cfRule type="cellIs" dxfId="21" priority="18" stopIfTrue="1" operator="equal">
      <formula>R27+T27-100</formula>
    </cfRule>
  </conditionalFormatting>
  <conditionalFormatting sqref="T27">
    <cfRule type="cellIs" dxfId="20" priority="17" stopIfTrue="1" operator="equal">
      <formula>R27+T27-100</formula>
    </cfRule>
  </conditionalFormatting>
  <conditionalFormatting sqref="V27">
    <cfRule type="cellIs" dxfId="19" priority="16" stopIfTrue="1" operator="equal">
      <formula>T27+V27-100</formula>
    </cfRule>
  </conditionalFormatting>
  <conditionalFormatting sqref="V27">
    <cfRule type="cellIs" dxfId="18" priority="15" stopIfTrue="1" operator="equal">
      <formula>T27+V27-100</formula>
    </cfRule>
  </conditionalFormatting>
  <conditionalFormatting sqref="V27">
    <cfRule type="cellIs" dxfId="17" priority="14" stopIfTrue="1" operator="equal">
      <formula>T27+V27-100</formula>
    </cfRule>
  </conditionalFormatting>
  <conditionalFormatting sqref="V27">
    <cfRule type="cellIs" dxfId="16" priority="13" stopIfTrue="1" operator="equal">
      <formula>T27+V27-100</formula>
    </cfRule>
  </conditionalFormatting>
  <conditionalFormatting sqref="X27">
    <cfRule type="cellIs" dxfId="15" priority="12" stopIfTrue="1" operator="equal">
      <formula>V27+X27-100</formula>
    </cfRule>
  </conditionalFormatting>
  <conditionalFormatting sqref="X27">
    <cfRule type="cellIs" dxfId="14" priority="11" stopIfTrue="1" operator="equal">
      <formula>V27+X27-100</formula>
    </cfRule>
  </conditionalFormatting>
  <conditionalFormatting sqref="X27">
    <cfRule type="cellIs" dxfId="13" priority="10" stopIfTrue="1" operator="equal">
      <formula>V27+X27-100</formula>
    </cfRule>
  </conditionalFormatting>
  <conditionalFormatting sqref="X27">
    <cfRule type="cellIs" dxfId="12" priority="9" stopIfTrue="1" operator="equal">
      <formula>V27+X27-100</formula>
    </cfRule>
  </conditionalFormatting>
  <conditionalFormatting sqref="X27">
    <cfRule type="cellIs" dxfId="11" priority="8" stopIfTrue="1" operator="equal">
      <formula>V27+X27-100</formula>
    </cfRule>
  </conditionalFormatting>
  <conditionalFormatting sqref="Z27">
    <cfRule type="cellIs" dxfId="10" priority="7" stopIfTrue="1" operator="equal">
      <formula>X27+Z27-100</formula>
    </cfRule>
  </conditionalFormatting>
  <conditionalFormatting sqref="Z27">
    <cfRule type="cellIs" dxfId="9" priority="6" stopIfTrue="1" operator="equal">
      <formula>X27+Z27-100</formula>
    </cfRule>
  </conditionalFormatting>
  <conditionalFormatting sqref="Z27">
    <cfRule type="cellIs" dxfId="8" priority="5" stopIfTrue="1" operator="equal">
      <formula>X27+Z27-100</formula>
    </cfRule>
  </conditionalFormatting>
  <conditionalFormatting sqref="Z27">
    <cfRule type="cellIs" dxfId="7" priority="4" stopIfTrue="1" operator="equal">
      <formula>X27+Z27-100</formula>
    </cfRule>
  </conditionalFormatting>
  <conditionalFormatting sqref="Z27">
    <cfRule type="cellIs" dxfId="6" priority="3" stopIfTrue="1" operator="equal">
      <formula>X27+Z27-100</formula>
    </cfRule>
  </conditionalFormatting>
  <conditionalFormatting sqref="Z27">
    <cfRule type="cellIs" dxfId="5" priority="2" stopIfTrue="1" operator="equal">
      <formula>X27+Z27-100</formula>
    </cfRule>
  </conditionalFormatting>
  <conditionalFormatting sqref="AE17:AE43">
    <cfRule type="cellIs" dxfId="4" priority="1" operator="equal">
      <formula>$AE$43</formula>
    </cfRule>
  </conditionalFormatting>
  <pageMargins left="0.19685039370078741" right="0.19685039370078741" top="0.39370078740157483" bottom="0.39370078740157483" header="0.31496062992125984" footer="0.31496062992125984"/>
  <pageSetup paperSize="9" scale="65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3" operator="containsText" id="{E3D5ED3D-82CD-417F-B1DD-F029AFEA0B82}">
            <xm:f>NOT(ISERROR(SEARCH($AE$17,AE17)))</xm:f>
            <xm:f>$AE$17</xm:f>
            <x14:dxf>
              <font>
                <b/>
                <i val="0"/>
                <color auto="1"/>
              </font>
            </x14:dxf>
          </x14:cfRule>
          <xm:sqref>AE17:AE43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7"/>
  <sheetViews>
    <sheetView workbookViewId="0">
      <selection activeCell="A3" sqref="A3"/>
    </sheetView>
  </sheetViews>
  <sheetFormatPr defaultRowHeight="15" x14ac:dyDescent="0.25"/>
  <cols>
    <col min="1" max="2" width="32.5703125" customWidth="1"/>
    <col min="3" max="3" width="7.28515625" customWidth="1"/>
    <col min="4" max="4" width="8.140625" bestFit="1" customWidth="1"/>
    <col min="5" max="5" width="12" bestFit="1" customWidth="1"/>
    <col min="6" max="7" width="32.5703125" customWidth="1"/>
    <col min="8" max="8" width="7.28515625" customWidth="1"/>
    <col min="9" max="9" width="8.140625" customWidth="1"/>
    <col min="10" max="10" width="12" customWidth="1"/>
    <col min="11" max="11" width="15.85546875" customWidth="1"/>
    <col min="12" max="12" width="10.28515625" bestFit="1" customWidth="1"/>
  </cols>
  <sheetData>
    <row r="1" spans="1:10" x14ac:dyDescent="0.25">
      <c r="A1" s="135"/>
      <c r="B1" s="135"/>
      <c r="C1" s="135"/>
      <c r="D1" s="135"/>
      <c r="E1" s="135"/>
      <c r="F1" s="135"/>
      <c r="G1" s="135"/>
      <c r="H1" s="135"/>
      <c r="I1" s="135"/>
      <c r="J1" s="135"/>
    </row>
    <row r="2" spans="1:10" x14ac:dyDescent="0.25">
      <c r="A2" s="135"/>
      <c r="B2" s="135"/>
      <c r="C2" s="135"/>
      <c r="D2" s="135"/>
      <c r="E2" s="135"/>
      <c r="F2" s="135"/>
      <c r="G2" s="135"/>
      <c r="H2" s="135"/>
      <c r="I2" s="135"/>
      <c r="J2" s="135"/>
    </row>
    <row r="3" spans="1:10" x14ac:dyDescent="0.25">
      <c r="A3" s="135"/>
      <c r="B3" s="135"/>
      <c r="C3" s="135"/>
      <c r="D3" s="135"/>
      <c r="E3" s="135"/>
      <c r="F3" s="135"/>
      <c r="G3" s="135"/>
      <c r="H3" s="135"/>
      <c r="I3" s="135"/>
      <c r="J3" s="135"/>
    </row>
    <row r="4" spans="1:10" x14ac:dyDescent="0.25">
      <c r="A4" s="135"/>
      <c r="B4" s="135"/>
      <c r="C4" s="135"/>
      <c r="D4" s="135"/>
      <c r="E4" s="135"/>
      <c r="F4" s="135"/>
      <c r="G4" s="135"/>
      <c r="H4" s="135"/>
      <c r="I4" s="135"/>
      <c r="J4" s="135"/>
    </row>
    <row r="5" spans="1:10" x14ac:dyDescent="0.25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</row>
    <row r="7" spans="1:10" x14ac:dyDescent="0.25">
      <c r="A7" s="135"/>
      <c r="B7" s="135"/>
      <c r="C7" s="135"/>
      <c r="D7" s="135"/>
      <c r="E7" s="135"/>
      <c r="F7" s="135"/>
      <c r="G7" s="135"/>
      <c r="H7" s="135"/>
      <c r="I7" s="135"/>
      <c r="J7" s="135"/>
    </row>
    <row r="8" spans="1:10" ht="19.5" x14ac:dyDescent="0.25">
      <c r="A8" s="133" t="s">
        <v>420</v>
      </c>
      <c r="B8" s="133"/>
      <c r="C8" s="133"/>
      <c r="D8" s="175"/>
      <c r="E8" s="35" t="s">
        <v>42</v>
      </c>
      <c r="F8" s="174" t="s">
        <v>422</v>
      </c>
      <c r="G8" s="133"/>
      <c r="H8" s="133"/>
      <c r="I8" s="175"/>
      <c r="J8" s="35" t="s">
        <v>42</v>
      </c>
    </row>
    <row r="9" spans="1:10" x14ac:dyDescent="0.25">
      <c r="A9" s="176"/>
      <c r="B9" s="176"/>
      <c r="C9" s="176"/>
      <c r="D9" s="177"/>
      <c r="E9" s="39" t="s">
        <v>43</v>
      </c>
      <c r="F9" s="178" t="s">
        <v>77</v>
      </c>
      <c r="G9" s="179"/>
      <c r="H9" s="179"/>
      <c r="I9" s="180"/>
      <c r="J9" s="39" t="s">
        <v>43</v>
      </c>
    </row>
    <row r="10" spans="1:10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</row>
    <row r="11" spans="1:10" x14ac:dyDescent="0.25">
      <c r="A11" s="40" t="s">
        <v>31</v>
      </c>
      <c r="B11" s="40" t="s">
        <v>48</v>
      </c>
      <c r="C11" s="120" t="s">
        <v>32</v>
      </c>
      <c r="D11" s="121"/>
      <c r="E11" s="122"/>
      <c r="F11" s="40" t="s">
        <v>31</v>
      </c>
      <c r="G11" s="40" t="s">
        <v>48</v>
      </c>
      <c r="H11" s="120" t="s">
        <v>32</v>
      </c>
      <c r="I11" s="121"/>
      <c r="J11" s="122"/>
    </row>
    <row r="12" spans="1:10" x14ac:dyDescent="0.25">
      <c r="A12" s="27"/>
      <c r="B12" s="27"/>
      <c r="C12" s="123" t="str">
        <f>Import.Município</f>
        <v>CORONEL VIVIDA - PR</v>
      </c>
      <c r="D12" s="124"/>
      <c r="E12" s="125"/>
      <c r="F12" s="27"/>
      <c r="G12" s="27"/>
      <c r="H12" s="123" t="str">
        <f>Import.Município</f>
        <v>CORONEL VIVIDA - PR</v>
      </c>
      <c r="I12" s="124"/>
      <c r="J12" s="125"/>
    </row>
    <row r="13" spans="1:10" x14ac:dyDescent="0.25">
      <c r="A13" s="28"/>
      <c r="B13" s="28"/>
      <c r="C13" s="29"/>
      <c r="D13" s="28"/>
      <c r="E13" s="28"/>
      <c r="F13" s="28"/>
      <c r="G13" s="28"/>
      <c r="H13" s="29"/>
      <c r="I13" s="28"/>
      <c r="J13" s="28"/>
    </row>
    <row r="14" spans="1:10" ht="22.5" customHeight="1" x14ac:dyDescent="0.25">
      <c r="A14" s="41" t="s">
        <v>33</v>
      </c>
      <c r="B14" s="112" t="str">
        <f>ORÇAMENTO!A7</f>
        <v>OBJETO: CONTRUÇÃO DE VIA MARGINAL A BR-158 E BR-373 - CORONEL VIVIDA - PR     2ª ETAPA</v>
      </c>
      <c r="C14" s="114" t="str">
        <f>ORÇAMENTO!A8</f>
        <v>LOCALIZAÇÃO: RODOVIA BR 373 E RODOVIA BR 158 - ENTRE O LOTEAMENTO SOL NASCENTE E O TREVO DA RUA ROMÁRIO MARTINS</v>
      </c>
      <c r="D14" s="115"/>
      <c r="E14" s="116"/>
      <c r="F14" s="41" t="s">
        <v>33</v>
      </c>
      <c r="G14" s="112" t="str">
        <f>B14</f>
        <v>OBJETO: CONTRUÇÃO DE VIA MARGINAL A BR-158 E BR-373 - CORONEL VIVIDA - PR     2ª ETAPA</v>
      </c>
      <c r="H14" s="114" t="str">
        <f>C14</f>
        <v>LOCALIZAÇÃO: RODOVIA BR 373 E RODOVIA BR 158 - ENTRE O LOTEAMENTO SOL NASCENTE E O TREVO DA RUA ROMÁRIO MARTINS</v>
      </c>
      <c r="I14" s="115"/>
      <c r="J14" s="116"/>
    </row>
    <row r="15" spans="1:10" ht="22.5" customHeight="1" x14ac:dyDescent="0.25">
      <c r="A15" s="30" t="s">
        <v>44</v>
      </c>
      <c r="B15" s="113"/>
      <c r="C15" s="117"/>
      <c r="D15" s="118"/>
      <c r="E15" s="119"/>
      <c r="F15" s="30" t="s">
        <v>44</v>
      </c>
      <c r="G15" s="113"/>
      <c r="H15" s="117"/>
      <c r="I15" s="118"/>
      <c r="J15" s="119"/>
    </row>
    <row r="16" spans="1:10" x14ac:dyDescent="0.25">
      <c r="A16" s="31"/>
      <c r="B16" s="31"/>
      <c r="C16" s="32"/>
      <c r="D16" s="32"/>
      <c r="E16" s="31"/>
      <c r="F16" s="31"/>
      <c r="G16" s="31"/>
      <c r="H16" s="32"/>
      <c r="I16" s="32"/>
      <c r="J16" s="31"/>
    </row>
    <row r="17" spans="1:10" x14ac:dyDescent="0.25">
      <c r="A17" s="33" t="s">
        <v>34</v>
      </c>
      <c r="B17" s="31"/>
      <c r="C17" s="32"/>
      <c r="D17" s="32"/>
      <c r="E17" s="31"/>
      <c r="F17" s="33" t="s">
        <v>34</v>
      </c>
      <c r="G17" s="31"/>
      <c r="H17" s="32"/>
      <c r="I17" s="32"/>
      <c r="J17" s="31"/>
    </row>
    <row r="18" spans="1:10" x14ac:dyDescent="0.25">
      <c r="A18" s="126" t="s">
        <v>35</v>
      </c>
      <c r="B18" s="126"/>
      <c r="C18" s="126"/>
      <c r="D18" s="126"/>
      <c r="E18" s="126"/>
      <c r="F18" s="126" t="s">
        <v>35</v>
      </c>
      <c r="G18" s="126"/>
      <c r="H18" s="126"/>
      <c r="I18" s="126"/>
      <c r="J18" s="126"/>
    </row>
    <row r="19" spans="1:10" ht="15.75" thickBot="1" x14ac:dyDescent="0.3">
      <c r="A19" s="34"/>
      <c r="B19" s="34"/>
      <c r="C19" s="34"/>
      <c r="D19" s="34"/>
      <c r="E19" s="134">
        <v>1</v>
      </c>
      <c r="F19" s="34"/>
      <c r="G19" s="34"/>
      <c r="H19" s="34"/>
      <c r="I19" s="34"/>
      <c r="J19" s="134">
        <v>1</v>
      </c>
    </row>
    <row r="20" spans="1:10" x14ac:dyDescent="0.25">
      <c r="A20" s="136" t="s">
        <v>404</v>
      </c>
      <c r="B20" s="137"/>
      <c r="C20" s="137"/>
      <c r="D20" s="137" t="s">
        <v>405</v>
      </c>
      <c r="E20" s="138" t="s">
        <v>406</v>
      </c>
      <c r="F20" s="136" t="s">
        <v>404</v>
      </c>
      <c r="G20" s="137"/>
      <c r="H20" s="137"/>
      <c r="I20" s="137" t="s">
        <v>405</v>
      </c>
      <c r="J20" s="138" t="s">
        <v>406</v>
      </c>
    </row>
    <row r="21" spans="1:10" x14ac:dyDescent="0.25">
      <c r="A21" s="139"/>
      <c r="B21" s="129"/>
      <c r="C21" s="129"/>
      <c r="D21" s="129"/>
      <c r="E21" s="140"/>
      <c r="F21" s="139"/>
      <c r="G21" s="129"/>
      <c r="H21" s="129"/>
      <c r="I21" s="129"/>
      <c r="J21" s="140"/>
    </row>
    <row r="22" spans="1:10" x14ac:dyDescent="0.25">
      <c r="A22" s="141" t="s">
        <v>415</v>
      </c>
      <c r="B22" s="130"/>
      <c r="C22" s="130"/>
      <c r="D22" s="131" t="str">
        <f>IF($E19=$A$146,"K1","AC")</f>
        <v>AC</v>
      </c>
      <c r="E22" s="142">
        <v>3.7999999999999999E-2</v>
      </c>
      <c r="F22" s="141" t="s">
        <v>415</v>
      </c>
      <c r="G22" s="130"/>
      <c r="H22" s="130"/>
      <c r="I22" s="131" t="str">
        <f>IF($E19=$A$146,"K1","AC")</f>
        <v>AC</v>
      </c>
      <c r="J22" s="142">
        <v>1.4999999999999999E-2</v>
      </c>
    </row>
    <row r="23" spans="1:10" x14ac:dyDescent="0.25">
      <c r="A23" s="141" t="s">
        <v>416</v>
      </c>
      <c r="B23" s="130"/>
      <c r="C23" s="130"/>
      <c r="D23" s="131" t="str">
        <f>IF($E19=$A$146,"K2","SG")</f>
        <v>SG</v>
      </c>
      <c r="E23" s="142">
        <v>3.2000000000000002E-3</v>
      </c>
      <c r="F23" s="141" t="s">
        <v>416</v>
      </c>
      <c r="G23" s="130"/>
      <c r="H23" s="130"/>
      <c r="I23" s="131" t="str">
        <f>IF($E19=$A$146,"K2","SG")</f>
        <v>SG</v>
      </c>
      <c r="J23" s="142">
        <v>3.0000000000000001E-3</v>
      </c>
    </row>
    <row r="24" spans="1:10" x14ac:dyDescent="0.25">
      <c r="A24" s="141" t="s">
        <v>417</v>
      </c>
      <c r="B24" s="130"/>
      <c r="C24" s="130"/>
      <c r="D24" s="131" t="str">
        <f>IF($E19=$A$146,"","R")</f>
        <v>R</v>
      </c>
      <c r="E24" s="142">
        <v>5.0000000000000001E-3</v>
      </c>
      <c r="F24" s="141" t="s">
        <v>417</v>
      </c>
      <c r="G24" s="130"/>
      <c r="H24" s="130"/>
      <c r="I24" s="131" t="str">
        <f>IF($E19=$A$146,"","R")</f>
        <v>R</v>
      </c>
      <c r="J24" s="142">
        <v>5.5999999999999999E-3</v>
      </c>
    </row>
    <row r="25" spans="1:10" x14ac:dyDescent="0.25">
      <c r="A25" s="141" t="s">
        <v>418</v>
      </c>
      <c r="B25" s="130"/>
      <c r="C25" s="130"/>
      <c r="D25" s="131" t="str">
        <f>IF($E19=$A$146,"","DF")</f>
        <v>DF</v>
      </c>
      <c r="E25" s="142">
        <v>1.0200000000000001E-2</v>
      </c>
      <c r="F25" s="141" t="s">
        <v>418</v>
      </c>
      <c r="G25" s="130"/>
      <c r="H25" s="130"/>
      <c r="I25" s="131" t="str">
        <f>IF($E19=$A$146,"","DF")</f>
        <v>DF</v>
      </c>
      <c r="J25" s="142">
        <v>8.5000000000000006E-3</v>
      </c>
    </row>
    <row r="26" spans="1:10" x14ac:dyDescent="0.25">
      <c r="A26" s="141" t="s">
        <v>419</v>
      </c>
      <c r="B26" s="130"/>
      <c r="C26" s="130"/>
      <c r="D26" s="131" t="str">
        <f>IF($E19=$A$146,"K3","L")</f>
        <v>L</v>
      </c>
      <c r="E26" s="142">
        <v>6.7400000000000002E-2</v>
      </c>
      <c r="F26" s="141" t="s">
        <v>419</v>
      </c>
      <c r="G26" s="130"/>
      <c r="H26" s="130"/>
      <c r="I26" s="131" t="str">
        <f>IF($E19=$A$146,"K3","L")</f>
        <v>L</v>
      </c>
      <c r="J26" s="142">
        <v>3.9899999999999998E-2</v>
      </c>
    </row>
    <row r="27" spans="1:10" x14ac:dyDescent="0.25">
      <c r="A27" s="141" t="s">
        <v>407</v>
      </c>
      <c r="B27" s="130"/>
      <c r="C27" s="130"/>
      <c r="D27" s="131" t="s">
        <v>408</v>
      </c>
      <c r="E27" s="142">
        <v>3.6499999999999998E-2</v>
      </c>
      <c r="F27" s="141" t="s">
        <v>407</v>
      </c>
      <c r="G27" s="130"/>
      <c r="H27" s="130"/>
      <c r="I27" s="131" t="s">
        <v>408</v>
      </c>
      <c r="J27" s="142">
        <v>3.6499999999999998E-2</v>
      </c>
    </row>
    <row r="28" spans="1:10" x14ac:dyDescent="0.25">
      <c r="A28" s="141" t="s">
        <v>409</v>
      </c>
      <c r="B28" s="130"/>
      <c r="C28" s="130"/>
      <c r="D28" s="131" t="s">
        <v>410</v>
      </c>
      <c r="E28" s="143">
        <f ca="1">IF(AND($E19&lt;&gt;$A$145,COUNTA(OFFSET(E19,1,0,6))&gt;0),$D$38*$E$37,0)</f>
        <v>0.03</v>
      </c>
      <c r="F28" s="141" t="s">
        <v>409</v>
      </c>
      <c r="G28" s="130"/>
      <c r="H28" s="130"/>
      <c r="I28" s="131" t="s">
        <v>410</v>
      </c>
      <c r="J28" s="143">
        <f ca="1">IF(AND($E19&lt;&gt;$A$145,COUNTA(OFFSET(J19,1,0,6))&gt;0),$D$38*$E$37,0)</f>
        <v>0.03</v>
      </c>
    </row>
    <row r="29" spans="1:10" ht="30.75" customHeight="1" x14ac:dyDescent="0.25">
      <c r="A29" s="141" t="s">
        <v>411</v>
      </c>
      <c r="B29" s="130"/>
      <c r="C29" s="130"/>
      <c r="D29" s="131" t="s">
        <v>412</v>
      </c>
      <c r="E29" s="143">
        <f ca="1">IF(BDI.Opcao&lt;&gt;"Desonerado",0,IF(AND($J18&lt;&gt;$A$145,COUNTA(OFFSET(E21,1,0,6))&gt;0),4.5%,0%))</f>
        <v>0</v>
      </c>
      <c r="F29" s="141" t="s">
        <v>411</v>
      </c>
      <c r="G29" s="130"/>
      <c r="H29" s="130"/>
      <c r="I29" s="131" t="s">
        <v>412</v>
      </c>
      <c r="J29" s="143">
        <f ca="1">IF(BDI.Opcao&lt;&gt;"Desonerado",0,IF(AND($J18&lt;&gt;$A$145,COUNTA(OFFSET(J21,1,0,6))&gt;0),4.5%,0%))</f>
        <v>0</v>
      </c>
    </row>
    <row r="30" spans="1:10" x14ac:dyDescent="0.25">
      <c r="A30" s="141" t="s">
        <v>413</v>
      </c>
      <c r="B30" s="130"/>
      <c r="C30" s="130"/>
      <c r="D30" s="132" t="s">
        <v>414</v>
      </c>
      <c r="E30" s="143">
        <f ca="1">IF($E19=$A$145,0,ROUND((((1+E22+E23+E24)*(1+E25)*(1+E26)/(1-(E27+E28)))-1),4))</f>
        <v>0.20849999999999999</v>
      </c>
      <c r="F30" s="141" t="s">
        <v>413</v>
      </c>
      <c r="G30" s="130"/>
      <c r="H30" s="130"/>
      <c r="I30" s="132" t="s">
        <v>414</v>
      </c>
      <c r="J30" s="143">
        <f ca="1">IF($E19=$A$145,0,ROUND((((1+J22+J23+J24)*(1+J25)*(1+J26)/(1-(J27+J28)))-1),4))</f>
        <v>0.15</v>
      </c>
    </row>
    <row r="31" spans="1:10" x14ac:dyDescent="0.25">
      <c r="A31" s="144" t="s">
        <v>36</v>
      </c>
      <c r="B31" s="36"/>
      <c r="C31" s="36"/>
      <c r="D31" s="36"/>
      <c r="E31" s="145">
        <f ca="1">E30</f>
        <v>0.20849999999999999</v>
      </c>
      <c r="F31" s="144" t="s">
        <v>36</v>
      </c>
      <c r="G31" s="36"/>
      <c r="H31" s="36"/>
      <c r="I31" s="36"/>
      <c r="J31" s="145">
        <f ca="1">J30</f>
        <v>0.15</v>
      </c>
    </row>
    <row r="32" spans="1:10" x14ac:dyDescent="0.25">
      <c r="A32" s="146"/>
      <c r="B32" s="147"/>
      <c r="C32" s="147"/>
      <c r="D32" s="147"/>
      <c r="E32" s="148"/>
      <c r="F32" s="146"/>
      <c r="G32" s="147"/>
      <c r="H32" s="147"/>
      <c r="I32" s="147"/>
      <c r="J32" s="148"/>
    </row>
    <row r="33" spans="1:10" x14ac:dyDescent="0.25">
      <c r="A33" s="146" t="s">
        <v>37</v>
      </c>
      <c r="B33" s="147"/>
      <c r="C33" s="147"/>
      <c r="D33" s="147"/>
      <c r="E33" s="148"/>
      <c r="F33" s="146" t="s">
        <v>37</v>
      </c>
      <c r="G33" s="147"/>
      <c r="H33" s="147"/>
      <c r="I33" s="147"/>
      <c r="J33" s="148"/>
    </row>
    <row r="34" spans="1:10" x14ac:dyDescent="0.25">
      <c r="A34" s="146"/>
      <c r="B34" s="147"/>
      <c r="C34" s="147"/>
      <c r="D34" s="147"/>
      <c r="E34" s="148"/>
      <c r="F34" s="146"/>
      <c r="G34" s="147"/>
      <c r="H34" s="147"/>
      <c r="I34" s="147"/>
      <c r="J34" s="148"/>
    </row>
    <row r="35" spans="1:10" x14ac:dyDescent="0.25">
      <c r="A35" s="149" t="str">
        <f ca="1">IF(AND(A18=" - Fornecimento de Materiais e Equipamentos (Aquisição direta)",E$31=0),"",IF(OR($AI$10&lt;$AK$10,$AI$10&gt;$AL$10)=TRUE(),$AK$21,""))</f>
        <v/>
      </c>
      <c r="B35" s="150"/>
      <c r="C35" s="150"/>
      <c r="D35" s="150"/>
      <c r="E35" s="151"/>
      <c r="F35" s="149" t="str">
        <f ca="1">IF(AND(F18=" - Fornecimento de Materiais e Equipamentos (Aquisição direta)",J$31=0),"",IF(OR($AI$10&lt;$AK$10,$AI$10&gt;$AL$10)=TRUE(),$AK$21,""))</f>
        <v/>
      </c>
      <c r="G35" s="150"/>
      <c r="H35" s="150"/>
      <c r="I35" s="150"/>
      <c r="J35" s="151"/>
    </row>
    <row r="36" spans="1:10" x14ac:dyDescent="0.25">
      <c r="A36" s="152"/>
      <c r="B36" s="153"/>
      <c r="C36" s="153"/>
      <c r="D36" s="153"/>
      <c r="E36" s="154"/>
      <c r="F36" s="152"/>
      <c r="G36" s="153"/>
      <c r="H36" s="153"/>
      <c r="I36" s="153"/>
      <c r="J36" s="154"/>
    </row>
    <row r="37" spans="1:10" x14ac:dyDescent="0.25">
      <c r="A37" s="155" t="s">
        <v>38</v>
      </c>
      <c r="B37" s="156"/>
      <c r="C37" s="156"/>
      <c r="D37" s="156"/>
      <c r="E37" s="157">
        <v>0.6</v>
      </c>
      <c r="F37" s="155" t="s">
        <v>38</v>
      </c>
      <c r="G37" s="156"/>
      <c r="H37" s="156"/>
      <c r="I37" s="156"/>
      <c r="J37" s="157">
        <v>0.6</v>
      </c>
    </row>
    <row r="38" spans="1:10" x14ac:dyDescent="0.25">
      <c r="A38" s="155" t="s">
        <v>39</v>
      </c>
      <c r="B38" s="156"/>
      <c r="C38" s="156"/>
      <c r="D38" s="158">
        <v>0.05</v>
      </c>
      <c r="E38" s="154"/>
      <c r="F38" s="155" t="s">
        <v>39</v>
      </c>
      <c r="G38" s="156"/>
      <c r="H38" s="156"/>
      <c r="I38" s="158">
        <v>0.05</v>
      </c>
      <c r="J38" s="154"/>
    </row>
    <row r="39" spans="1:10" x14ac:dyDescent="0.25">
      <c r="A39" s="159"/>
      <c r="B39" s="160"/>
      <c r="C39" s="160"/>
      <c r="D39" s="161"/>
      <c r="E39" s="154"/>
      <c r="F39" s="159"/>
      <c r="G39" s="160"/>
      <c r="H39" s="160"/>
      <c r="I39" s="161"/>
      <c r="J39" s="154"/>
    </row>
    <row r="40" spans="1:10" x14ac:dyDescent="0.25">
      <c r="A40" s="162" t="s">
        <v>40</v>
      </c>
      <c r="B40" s="163"/>
      <c r="C40" s="163"/>
      <c r="D40" s="163"/>
      <c r="E40" s="164"/>
      <c r="F40" s="162" t="s">
        <v>40</v>
      </c>
      <c r="G40" s="163"/>
      <c r="H40" s="163"/>
      <c r="I40" s="163"/>
      <c r="J40" s="164"/>
    </row>
    <row r="41" spans="1:10" x14ac:dyDescent="0.25">
      <c r="A41" s="165"/>
      <c r="B41" s="166"/>
      <c r="C41" s="166"/>
      <c r="D41" s="166"/>
      <c r="E41" s="167"/>
      <c r="F41" s="165"/>
      <c r="G41" s="166"/>
      <c r="H41" s="166"/>
      <c r="I41" s="166"/>
      <c r="J41" s="167"/>
    </row>
    <row r="42" spans="1:10" x14ac:dyDescent="0.25">
      <c r="A42" s="165"/>
      <c r="B42" s="166"/>
      <c r="C42" s="166"/>
      <c r="D42" s="166"/>
      <c r="E42" s="167"/>
      <c r="F42" s="165"/>
      <c r="G42" s="166"/>
      <c r="H42" s="166"/>
      <c r="I42" s="166"/>
      <c r="J42" s="167"/>
    </row>
    <row r="43" spans="1:10" x14ac:dyDescent="0.25">
      <c r="A43" s="165"/>
      <c r="B43" s="166"/>
      <c r="C43" s="166"/>
      <c r="D43" s="166"/>
      <c r="E43" s="167"/>
      <c r="F43" s="165"/>
      <c r="G43" s="166"/>
      <c r="H43" s="166"/>
      <c r="I43" s="166"/>
      <c r="J43" s="167"/>
    </row>
    <row r="44" spans="1:10" x14ac:dyDescent="0.25">
      <c r="A44" s="165" t="s">
        <v>46</v>
      </c>
      <c r="B44" s="166"/>
      <c r="C44" s="166"/>
      <c r="D44" s="147"/>
      <c r="E44" s="148"/>
      <c r="F44" s="165" t="s">
        <v>46</v>
      </c>
      <c r="G44" s="166"/>
      <c r="H44" s="166"/>
      <c r="I44" s="147"/>
      <c r="J44" s="148"/>
    </row>
    <row r="45" spans="1:10" x14ac:dyDescent="0.25">
      <c r="A45" s="165" t="s">
        <v>45</v>
      </c>
      <c r="B45" s="166"/>
      <c r="C45" s="166"/>
      <c r="D45" s="168" t="s">
        <v>41</v>
      </c>
      <c r="E45" s="169" t="s">
        <v>421</v>
      </c>
      <c r="F45" s="165" t="s">
        <v>45</v>
      </c>
      <c r="G45" s="166"/>
      <c r="H45" s="166"/>
      <c r="I45" s="168" t="s">
        <v>41</v>
      </c>
      <c r="J45" s="169" t="s">
        <v>421</v>
      </c>
    </row>
    <row r="46" spans="1:10" ht="15.75" thickBot="1" x14ac:dyDescent="0.3">
      <c r="A46" s="170" t="s">
        <v>47</v>
      </c>
      <c r="B46" s="171"/>
      <c r="C46" s="171"/>
      <c r="D46" s="172"/>
      <c r="E46" s="173"/>
      <c r="F46" s="170" t="s">
        <v>47</v>
      </c>
      <c r="G46" s="171"/>
      <c r="H46" s="171"/>
      <c r="I46" s="172"/>
      <c r="J46" s="173"/>
    </row>
    <row r="47" spans="1:10" x14ac:dyDescent="0.25">
      <c r="A47" s="34"/>
      <c r="B47" s="37"/>
      <c r="C47" s="38"/>
      <c r="D47" s="34"/>
      <c r="E47" s="34"/>
    </row>
  </sheetData>
  <sheetProtection algorithmName="SHA-512" hashValue="Y5WNpP+6xkrM+xSQxnpuqMRoeioAXgPPjYhBYcrTJgXtKcEsQLHZIcL27KkejuM19m32diuqKdnYiUqvKqkHiA==" saltValue="KrAf3afdZXBNXx5H1AhoUA==" spinCount="100000" sheet="1" objects="1" scenarios="1"/>
  <mergeCells count="46">
    <mergeCell ref="F37:I37"/>
    <mergeCell ref="F38:H38"/>
    <mergeCell ref="F40:J40"/>
    <mergeCell ref="F8:I8"/>
    <mergeCell ref="A8:D8"/>
    <mergeCell ref="F9:I9"/>
    <mergeCell ref="A9:D9"/>
    <mergeCell ref="F27:H27"/>
    <mergeCell ref="F28:H28"/>
    <mergeCell ref="F29:H29"/>
    <mergeCell ref="F30:H30"/>
    <mergeCell ref="F35:J35"/>
    <mergeCell ref="A27:C27"/>
    <mergeCell ref="A28:C28"/>
    <mergeCell ref="A29:C29"/>
    <mergeCell ref="A30:C30"/>
    <mergeCell ref="H11:J11"/>
    <mergeCell ref="H12:J12"/>
    <mergeCell ref="G14:G15"/>
    <mergeCell ref="H14:J15"/>
    <mergeCell ref="F18:J18"/>
    <mergeCell ref="F20:H21"/>
    <mergeCell ref="F22:H22"/>
    <mergeCell ref="F23:H23"/>
    <mergeCell ref="F24:H24"/>
    <mergeCell ref="F25:H25"/>
    <mergeCell ref="F26:H26"/>
    <mergeCell ref="I20:I21"/>
    <mergeCell ref="J20:J21"/>
    <mergeCell ref="A20:C21"/>
    <mergeCell ref="D20:D21"/>
    <mergeCell ref="E20:E21"/>
    <mergeCell ref="A22:C22"/>
    <mergeCell ref="A23:C23"/>
    <mergeCell ref="A24:C24"/>
    <mergeCell ref="A18:E18"/>
    <mergeCell ref="A35:E35"/>
    <mergeCell ref="A37:D37"/>
    <mergeCell ref="A38:C38"/>
    <mergeCell ref="A40:E40"/>
    <mergeCell ref="A25:C25"/>
    <mergeCell ref="A26:C26"/>
    <mergeCell ref="B14:B15"/>
    <mergeCell ref="C14:E15"/>
    <mergeCell ref="C11:E11"/>
    <mergeCell ref="C12:E12"/>
  </mergeCells>
  <conditionalFormatting sqref="E30">
    <cfRule type="expression" dxfId="1" priority="2" stopIfTrue="1">
      <formula>DESONERACAO="não"</formula>
    </cfRule>
  </conditionalFormatting>
  <conditionalFormatting sqref="J30">
    <cfRule type="expression" dxfId="0" priority="1" stopIfTrue="1">
      <formula>DESONERACAO="não"</formula>
    </cfRule>
  </conditionalFormatting>
  <dataValidations disablePrompts="1" count="5">
    <dataValidation type="decimal" allowBlank="1" showInputMessage="1" showErrorMessage="1" sqref="D38 I38" xr:uid="{00000000-0002-0000-0200-000000000000}">
      <formula1>0</formula1>
      <formula2>0.05</formula2>
    </dataValidation>
    <dataValidation type="list" allowBlank="1" showInputMessage="1" showErrorMessage="1" sqref="A18:J18" xr:uid="{00000000-0002-0000-0200-000001000000}">
      <formula1>$AH$14:$AH$20</formula1>
    </dataValidation>
    <dataValidation operator="greaterThanOrEqual" allowBlank="1" showErrorMessage="1" errorTitle="Erro de valores" error="Digite um valor igual a 0% ou 2%." sqref="E29 J29" xr:uid="{756C7597-6696-405B-8C89-D84A6B696D9C}">
      <formula1>0</formula1>
      <formula2>0</formula2>
    </dataValidation>
    <dataValidation type="decimal" allowBlank="1" showErrorMessage="1" errorTitle="Erro de valores" error="Digite um valor maior do que 0." sqref="E28 J28" xr:uid="{3755C3A1-DCBB-422F-9519-96636C45625E}">
      <formula1>0</formula1>
      <formula2>1</formula2>
    </dataValidation>
    <dataValidation type="decimal" allowBlank="1" showErrorMessage="1" errorTitle="Erro de valores" error="Digite um valor entre 0% e 100%" sqref="E22:E27 J22:J27" xr:uid="{56E11CCD-1E8E-4E28-A7E6-30760C7B163D}">
      <formula1>0</formula1>
      <formula2>1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engenharia1</cp:lastModifiedBy>
  <cp:lastPrinted>2024-08-26T14:02:50Z</cp:lastPrinted>
  <dcterms:created xsi:type="dcterms:W3CDTF">2013-05-17T17:26:46Z</dcterms:created>
  <dcterms:modified xsi:type="dcterms:W3CDTF">2024-08-26T14:04:13Z</dcterms:modified>
</cp:coreProperties>
</file>