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epartamento de Compras - COMPRAS\Termos de Referencia 2025\2 - Contratação\SERVENTES SAUDE\"/>
    </mc:Choice>
  </mc:AlternateContent>
  <xr:revisionPtr revIDLastSave="0" documentId="13_ncr:1_{D42C4396-994C-4330-A3DC-7E7BA4855B2C}" xr6:coauthVersionLast="47" xr6:coauthVersionMax="47" xr10:uidLastSave="{00000000-0000-0000-0000-000000000000}"/>
  <bookViews>
    <workbookView xWindow="28680" yWindow="-120" windowWidth="29040" windowHeight="15840" tabRatio="904" firstSheet="1" activeTab="3" xr2:uid="{00000000-000D-0000-FFFF-FFFF00000000}"/>
  </bookViews>
  <sheets>
    <sheet name="MAPA COMPARATIVO" sheetId="20" r:id="rId1"/>
    <sheet name="ITEM 01 - SERVENTE COPEIRA 40H" sheetId="14" r:id="rId2"/>
    <sheet name="ITEM 02 - SERVENTE COPEIRA 20H" sheetId="15" r:id="rId3"/>
    <sheet name="ITEM 03 - SERVENTE 40H" sheetId="16" r:id="rId4"/>
    <sheet name="ITEM 04 - SERVENTE 20H" sheetId="17" r:id="rId5"/>
    <sheet name="5-SERVENTE COPEIRA 12X36 DIA" sheetId="18" r:id="rId6"/>
    <sheet name="6-SERVENTE COPEIRA 12X36 NOITE" sheetId="19" r:id="rId7"/>
    <sheet name="EMBASAMENTO" sheetId="21" r:id="rId8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4" l="1"/>
  <c r="B8" i="19"/>
  <c r="B8" i="18"/>
  <c r="B8" i="17"/>
  <c r="B8" i="16"/>
  <c r="B8" i="15"/>
  <c r="B8" i="14"/>
  <c r="F9" i="20"/>
  <c r="F8" i="20"/>
  <c r="F7" i="20"/>
  <c r="F6" i="20"/>
  <c r="F5" i="20"/>
  <c r="F4" i="20"/>
  <c r="B90" i="19" l="1"/>
  <c r="B73" i="19"/>
  <c r="C98" i="19" s="1"/>
  <c r="C72" i="19"/>
  <c r="C73" i="19" s="1"/>
  <c r="E98" i="19" s="1"/>
  <c r="C67" i="19"/>
  <c r="E67" i="19" s="1"/>
  <c r="C66" i="19"/>
  <c r="E66" i="19" s="1"/>
  <c r="C65" i="19"/>
  <c r="E65" i="19" s="1"/>
  <c r="C64" i="19"/>
  <c r="E64" i="19" s="1"/>
  <c r="C63" i="19"/>
  <c r="E63" i="19" s="1"/>
  <c r="C62" i="19"/>
  <c r="E62" i="19" s="1"/>
  <c r="C61" i="19"/>
  <c r="E61" i="19" s="1"/>
  <c r="C60" i="19"/>
  <c r="E60" i="19" s="1"/>
  <c r="B54" i="19"/>
  <c r="B34" i="19"/>
  <c r="C34" i="19" s="1"/>
  <c r="D34" i="19" s="1"/>
  <c r="D33" i="19"/>
  <c r="D32" i="19"/>
  <c r="D31" i="19"/>
  <c r="B30" i="19"/>
  <c r="C30" i="19" s="1"/>
  <c r="D30" i="19" s="1"/>
  <c r="B26" i="19"/>
  <c r="B44" i="19" s="1"/>
  <c r="B15" i="19"/>
  <c r="B6" i="19"/>
  <c r="B5" i="19"/>
  <c r="B29" i="19" s="1"/>
  <c r="F63" i="19" l="1"/>
  <c r="F66" i="19"/>
  <c r="F60" i="19"/>
  <c r="B9" i="19"/>
  <c r="D5" i="19" s="1"/>
  <c r="C44" i="19" s="1"/>
  <c r="F61" i="19"/>
  <c r="F64" i="19"/>
  <c r="F67" i="19"/>
  <c r="F62" i="19"/>
  <c r="F65" i="19"/>
  <c r="B46" i="19"/>
  <c r="C29" i="19"/>
  <c r="B35" i="19"/>
  <c r="C68" i="19"/>
  <c r="B10" i="19"/>
  <c r="C20" i="19" l="1"/>
  <c r="C51" i="19"/>
  <c r="C41" i="19"/>
  <c r="C25" i="19"/>
  <c r="C22" i="19"/>
  <c r="C19" i="19"/>
  <c r="C53" i="19"/>
  <c r="C40" i="19"/>
  <c r="C24" i="19"/>
  <c r="C18" i="19"/>
  <c r="C14" i="19"/>
  <c r="C50" i="19"/>
  <c r="C43" i="19"/>
  <c r="C21" i="19"/>
  <c r="E5" i="19"/>
  <c r="C45" i="19"/>
  <c r="C13" i="19"/>
  <c r="C15" i="19" s="1"/>
  <c r="D15" i="19" s="1"/>
  <c r="C52" i="19"/>
  <c r="C49" i="19"/>
  <c r="C42" i="19"/>
  <c r="C23" i="19"/>
  <c r="F68" i="19"/>
  <c r="E96" i="19" s="1"/>
  <c r="C96" i="19"/>
  <c r="D29" i="19"/>
  <c r="C35" i="19"/>
  <c r="D35" i="19" s="1"/>
  <c r="C54" i="19" l="1"/>
  <c r="D54" i="19" s="1"/>
  <c r="C26" i="19"/>
  <c r="D14" i="19"/>
  <c r="D45" i="19"/>
  <c r="D25" i="19"/>
  <c r="D53" i="19"/>
  <c r="D50" i="19"/>
  <c r="D43" i="19"/>
  <c r="D40" i="19"/>
  <c r="D24" i="19"/>
  <c r="D21" i="19"/>
  <c r="D18" i="19"/>
  <c r="D13" i="19"/>
  <c r="D22" i="19"/>
  <c r="D52" i="19"/>
  <c r="D49" i="19"/>
  <c r="D42" i="19"/>
  <c r="D23" i="19"/>
  <c r="D20" i="19"/>
  <c r="D51" i="19"/>
  <c r="D41" i="19"/>
  <c r="D19" i="19"/>
  <c r="D44" i="19"/>
  <c r="C46" i="19"/>
  <c r="D46" i="19" l="1"/>
  <c r="D55" i="19" s="1"/>
  <c r="E95" i="19" s="1"/>
  <c r="C55" i="19"/>
  <c r="C95" i="19" s="1"/>
  <c r="D26" i="19"/>
  <c r="D36" i="19" s="1"/>
  <c r="E94" i="19" s="1"/>
  <c r="C36" i="19"/>
  <c r="C77" i="19" l="1"/>
  <c r="C94" i="19"/>
  <c r="C79" i="19" l="1"/>
  <c r="C80" i="19" s="1"/>
  <c r="C82" i="19" s="1"/>
  <c r="E77" i="19"/>
  <c r="C84" i="19" l="1"/>
  <c r="E82" i="19"/>
  <c r="E79" i="19"/>
  <c r="E80" i="19" s="1"/>
  <c r="C87" i="19" l="1"/>
  <c r="C89" i="19"/>
  <c r="E89" i="19" s="1"/>
  <c r="C88" i="19"/>
  <c r="E88" i="19" s="1"/>
  <c r="E84" i="19"/>
  <c r="C90" i="19" l="1"/>
  <c r="C91" i="19" s="1"/>
  <c r="E87" i="19"/>
  <c r="E90" i="19" s="1"/>
  <c r="C97" i="19" l="1"/>
  <c r="C99" i="19" s="1"/>
  <c r="E91" i="19"/>
  <c r="E97" i="19" s="1"/>
  <c r="E99" i="19" s="1"/>
  <c r="E103" i="19" l="1"/>
  <c r="E104" i="19" s="1"/>
  <c r="G9" i="20"/>
  <c r="H9" i="20" s="1"/>
  <c r="I9" i="20" s="1"/>
  <c r="B88" i="18"/>
  <c r="C65" i="18"/>
  <c r="F65" i="18" s="1"/>
  <c r="C64" i="18"/>
  <c r="F64" i="18" s="1"/>
  <c r="E63" i="18"/>
  <c r="C63" i="18"/>
  <c r="F63" i="18" s="1"/>
  <c r="C62" i="18"/>
  <c r="F62" i="18" s="1"/>
  <c r="C61" i="18"/>
  <c r="F61" i="18" s="1"/>
  <c r="C60" i="18"/>
  <c r="F60" i="18" s="1"/>
  <c r="C59" i="18"/>
  <c r="F59" i="18" s="1"/>
  <c r="C58" i="18"/>
  <c r="F58" i="18" s="1"/>
  <c r="B52" i="18"/>
  <c r="C32" i="18"/>
  <c r="D32" i="18" s="1"/>
  <c r="B32" i="18"/>
  <c r="D31" i="18"/>
  <c r="D30" i="18"/>
  <c r="D29" i="18"/>
  <c r="B28" i="18"/>
  <c r="C28" i="18" s="1"/>
  <c r="D28" i="18" s="1"/>
  <c r="B24" i="18"/>
  <c r="B42" i="18" s="1"/>
  <c r="B44" i="18" s="1"/>
  <c r="B13" i="18"/>
  <c r="B6" i="18"/>
  <c r="B5" i="18"/>
  <c r="B70" i="18" s="1"/>
  <c r="E59" i="18" l="1"/>
  <c r="D5" i="18"/>
  <c r="C50" i="18" s="1"/>
  <c r="B27" i="18"/>
  <c r="C27" i="18" s="1"/>
  <c r="C33" i="18" s="1"/>
  <c r="D33" i="18" s="1"/>
  <c r="E61" i="18"/>
  <c r="E65" i="18"/>
  <c r="C70" i="18"/>
  <c r="C71" i="18" s="1"/>
  <c r="E96" i="18" s="1"/>
  <c r="B71" i="18"/>
  <c r="C96" i="18" s="1"/>
  <c r="D27" i="18"/>
  <c r="E58" i="18"/>
  <c r="E60" i="18"/>
  <c r="E62" i="18"/>
  <c r="E64" i="18"/>
  <c r="C20" i="18"/>
  <c r="C40" i="18" l="1"/>
  <c r="C22" i="18"/>
  <c r="C21" i="18"/>
  <c r="E5" i="18"/>
  <c r="D23" i="18" s="1"/>
  <c r="C17" i="18"/>
  <c r="C19" i="18"/>
  <c r="C18" i="18"/>
  <c r="C42" i="18"/>
  <c r="C51" i="18"/>
  <c r="C16" i="18"/>
  <c r="C24" i="18" s="1"/>
  <c r="D24" i="18" s="1"/>
  <c r="C49" i="18"/>
  <c r="C48" i="18"/>
  <c r="C43" i="18"/>
  <c r="C39" i="18"/>
  <c r="C41" i="18"/>
  <c r="C11" i="18"/>
  <c r="C13" i="18" s="1"/>
  <c r="C47" i="18"/>
  <c r="C23" i="18"/>
  <c r="C38" i="18"/>
  <c r="C44" i="18" s="1"/>
  <c r="C12" i="18"/>
  <c r="C66" i="18"/>
  <c r="C94" i="18" s="1"/>
  <c r="B33" i="18"/>
  <c r="D21" i="18"/>
  <c r="D38" i="18" l="1"/>
  <c r="D39" i="18"/>
  <c r="C52" i="18"/>
  <c r="D52" i="18" s="1"/>
  <c r="D42" i="18"/>
  <c r="D16" i="18"/>
  <c r="D40" i="18"/>
  <c r="D48" i="18"/>
  <c r="D49" i="18"/>
  <c r="D19" i="18"/>
  <c r="D47" i="18"/>
  <c r="D51" i="18"/>
  <c r="D12" i="18"/>
  <c r="D22" i="18"/>
  <c r="D50" i="18"/>
  <c r="D17" i="18"/>
  <c r="F66" i="18"/>
  <c r="E94" i="18" s="1"/>
  <c r="D41" i="18"/>
  <c r="D11" i="18"/>
  <c r="D20" i="18"/>
  <c r="D18" i="18"/>
  <c r="D43" i="18"/>
  <c r="D13" i="18"/>
  <c r="D34" i="18" s="1"/>
  <c r="E92" i="18" s="1"/>
  <c r="C34" i="18"/>
  <c r="D44" i="18"/>
  <c r="C53" i="18" l="1"/>
  <c r="C93" i="18" s="1"/>
  <c r="D53" i="18"/>
  <c r="E93" i="18" s="1"/>
  <c r="C92" i="18"/>
  <c r="C75" i="18"/>
  <c r="E75" i="18" l="1"/>
  <c r="C77" i="18"/>
  <c r="C78" i="18"/>
  <c r="C80" i="18" s="1"/>
  <c r="C82" i="18" l="1"/>
  <c r="E80" i="18"/>
  <c r="E77" i="18"/>
  <c r="E78" i="18" s="1"/>
  <c r="E82" i="18" l="1"/>
  <c r="C87" i="18"/>
  <c r="E87" i="18" s="1"/>
  <c r="C86" i="18"/>
  <c r="E86" i="18" s="1"/>
  <c r="C85" i="18"/>
  <c r="C88" i="18" l="1"/>
  <c r="C89" i="18" s="1"/>
  <c r="E85" i="18"/>
  <c r="E88" i="18" s="1"/>
  <c r="C95" i="18" l="1"/>
  <c r="C97" i="18" s="1"/>
  <c r="E89" i="18"/>
  <c r="E95" i="18" s="1"/>
  <c r="E97" i="18" s="1"/>
  <c r="E101" i="18" l="1"/>
  <c r="E102" i="18" s="1"/>
  <c r="G8" i="20"/>
  <c r="H8" i="20" s="1"/>
  <c r="I8" i="20" s="1"/>
  <c r="B83" i="17"/>
  <c r="C65" i="17"/>
  <c r="F65" i="17" s="1"/>
  <c r="C64" i="17"/>
  <c r="F64" i="17" s="1"/>
  <c r="C63" i="17"/>
  <c r="F63" i="17" s="1"/>
  <c r="C62" i="17"/>
  <c r="F62" i="17" s="1"/>
  <c r="C61" i="17"/>
  <c r="F61" i="17" s="1"/>
  <c r="C60" i="17"/>
  <c r="F60" i="17" s="1"/>
  <c r="C59" i="17"/>
  <c r="F59" i="17" s="1"/>
  <c r="C58" i="17"/>
  <c r="F58" i="17" s="1"/>
  <c r="B52" i="17"/>
  <c r="B32" i="17"/>
  <c r="C32" i="17" s="1"/>
  <c r="D32" i="17" s="1"/>
  <c r="D31" i="17"/>
  <c r="D30" i="17"/>
  <c r="D29" i="17"/>
  <c r="B28" i="17"/>
  <c r="C28" i="17" s="1"/>
  <c r="D28" i="17" s="1"/>
  <c r="B24" i="17"/>
  <c r="B42" i="17" s="1"/>
  <c r="B13" i="17"/>
  <c r="B5" i="17"/>
  <c r="D5" i="17" s="1"/>
  <c r="C42" i="17" l="1"/>
  <c r="B44" i="17"/>
  <c r="E5" i="17"/>
  <c r="C12" i="17"/>
  <c r="C21" i="17"/>
  <c r="C18" i="17"/>
  <c r="C49" i="17"/>
  <c r="C39" i="17"/>
  <c r="C23" i="17"/>
  <c r="C20" i="17"/>
  <c r="C17" i="17"/>
  <c r="C51" i="17"/>
  <c r="C48" i="17"/>
  <c r="C41" i="17"/>
  <c r="C38" i="17"/>
  <c r="C22" i="17"/>
  <c r="C19" i="17"/>
  <c r="C16" i="17"/>
  <c r="C43" i="17"/>
  <c r="C11" i="17"/>
  <c r="C50" i="17"/>
  <c r="C47" i="17"/>
  <c r="C40" i="17"/>
  <c r="E59" i="17"/>
  <c r="E61" i="17"/>
  <c r="E63" i="17"/>
  <c r="E65" i="17"/>
  <c r="B27" i="17"/>
  <c r="E58" i="17"/>
  <c r="E60" i="17"/>
  <c r="E62" i="17"/>
  <c r="E64" i="17"/>
  <c r="C52" i="17" l="1"/>
  <c r="D52" i="17" s="1"/>
  <c r="C27" i="17"/>
  <c r="B33" i="17"/>
  <c r="C44" i="17"/>
  <c r="D49" i="17"/>
  <c r="D39" i="17"/>
  <c r="D23" i="17"/>
  <c r="D20" i="17"/>
  <c r="D17" i="17"/>
  <c r="D51" i="17"/>
  <c r="D38" i="17"/>
  <c r="D22" i="17"/>
  <c r="D16" i="17"/>
  <c r="D12" i="17"/>
  <c r="D48" i="17"/>
  <c r="D41" i="17"/>
  <c r="D19" i="17"/>
  <c r="D43" i="17"/>
  <c r="D11" i="17"/>
  <c r="D50" i="17"/>
  <c r="D47" i="17"/>
  <c r="D40" i="17"/>
  <c r="D21" i="17"/>
  <c r="D18" i="17"/>
  <c r="C13" i="17"/>
  <c r="D42" i="17"/>
  <c r="C66" i="17"/>
  <c r="C24" i="17"/>
  <c r="D24" i="17" s="1"/>
  <c r="D44" i="17" l="1"/>
  <c r="D53" i="17" s="1"/>
  <c r="E88" i="17" s="1"/>
  <c r="C53" i="17"/>
  <c r="C88" i="17" s="1"/>
  <c r="F66" i="17"/>
  <c r="E89" i="17" s="1"/>
  <c r="C89" i="17"/>
  <c r="D13" i="17"/>
  <c r="D27" i="17"/>
  <c r="C33" i="17"/>
  <c r="D33" i="17" s="1"/>
  <c r="C34" i="17" l="1"/>
  <c r="C70" i="17" s="1"/>
  <c r="D34" i="17"/>
  <c r="E87" i="17" s="1"/>
  <c r="C87" i="17" l="1"/>
  <c r="C72" i="17"/>
  <c r="E70" i="17"/>
  <c r="E72" i="17" l="1"/>
  <c r="E73" i="17" s="1"/>
  <c r="C73" i="17"/>
  <c r="C75" i="17" s="1"/>
  <c r="C77" i="17" l="1"/>
  <c r="E75" i="17"/>
  <c r="E77" i="17" s="1"/>
  <c r="C81" i="17" l="1"/>
  <c r="E81" i="17" s="1"/>
  <c r="C80" i="17"/>
  <c r="C82" i="17"/>
  <c r="E82" i="17" s="1"/>
  <c r="C83" i="17" l="1"/>
  <c r="C84" i="17" s="1"/>
  <c r="E80" i="17"/>
  <c r="E83" i="17" s="1"/>
  <c r="C90" i="17" l="1"/>
  <c r="C91" i="17" s="1"/>
  <c r="E84" i="17"/>
  <c r="E90" i="17" s="1"/>
  <c r="E91" i="17" s="1"/>
  <c r="E95" i="17" l="1"/>
  <c r="E96" i="17" s="1"/>
  <c r="G7" i="20"/>
  <c r="H7" i="20" s="1"/>
  <c r="I7" i="20" s="1"/>
  <c r="B83" i="16"/>
  <c r="C65" i="16"/>
  <c r="F65" i="16" s="1"/>
  <c r="C64" i="16"/>
  <c r="F64" i="16" s="1"/>
  <c r="C63" i="16"/>
  <c r="F63" i="16" s="1"/>
  <c r="C62" i="16"/>
  <c r="F62" i="16" s="1"/>
  <c r="C61" i="16"/>
  <c r="F61" i="16" s="1"/>
  <c r="C60" i="16"/>
  <c r="F60" i="16" s="1"/>
  <c r="C59" i="16"/>
  <c r="F59" i="16" s="1"/>
  <c r="C58" i="16"/>
  <c r="F58" i="16" s="1"/>
  <c r="B52" i="16"/>
  <c r="B32" i="16"/>
  <c r="C32" i="16" s="1"/>
  <c r="D32" i="16" s="1"/>
  <c r="D31" i="16"/>
  <c r="D30" i="16"/>
  <c r="D29" i="16"/>
  <c r="B28" i="16"/>
  <c r="C28" i="16" s="1"/>
  <c r="D28" i="16" s="1"/>
  <c r="B24" i="16"/>
  <c r="B42" i="16" s="1"/>
  <c r="B13" i="16"/>
  <c r="B5" i="16"/>
  <c r="D5" i="16" s="1"/>
  <c r="E5" i="16" l="1"/>
  <c r="D42" i="16" s="1"/>
  <c r="C47" i="16"/>
  <c r="C40" i="16"/>
  <c r="C18" i="16"/>
  <c r="C49" i="16"/>
  <c r="C39" i="16"/>
  <c r="C23" i="16"/>
  <c r="C20" i="16"/>
  <c r="C17" i="16"/>
  <c r="C12" i="16"/>
  <c r="C21" i="16"/>
  <c r="C51" i="16"/>
  <c r="C48" i="16"/>
  <c r="C41" i="16"/>
  <c r="C38" i="16"/>
  <c r="C22" i="16"/>
  <c r="C19" i="16"/>
  <c r="C16" i="16"/>
  <c r="C43" i="16"/>
  <c r="C11" i="16"/>
  <c r="C50" i="16"/>
  <c r="C42" i="16"/>
  <c r="B44" i="16"/>
  <c r="E59" i="16"/>
  <c r="E61" i="16"/>
  <c r="E63" i="16"/>
  <c r="E65" i="16"/>
  <c r="B27" i="16"/>
  <c r="E58" i="16"/>
  <c r="E60" i="16"/>
  <c r="E62" i="16"/>
  <c r="E64" i="16"/>
  <c r="C66" i="16" l="1"/>
  <c r="C24" i="16"/>
  <c r="D24" i="16" s="1"/>
  <c r="F66" i="16"/>
  <c r="E89" i="16" s="1"/>
  <c r="C89" i="16"/>
  <c r="C27" i="16"/>
  <c r="B33" i="16"/>
  <c r="C44" i="16"/>
  <c r="D21" i="16"/>
  <c r="D49" i="16"/>
  <c r="D39" i="16"/>
  <c r="D23" i="16"/>
  <c r="D20" i="16"/>
  <c r="D17" i="16"/>
  <c r="D19" i="16"/>
  <c r="D12" i="16"/>
  <c r="D51" i="16"/>
  <c r="D48" i="16"/>
  <c r="D41" i="16"/>
  <c r="D38" i="16"/>
  <c r="D22" i="16"/>
  <c r="D16" i="16"/>
  <c r="D43" i="16"/>
  <c r="D11" i="16"/>
  <c r="D50" i="16"/>
  <c r="D47" i="16"/>
  <c r="D40" i="16"/>
  <c r="D18" i="16"/>
  <c r="C13" i="16"/>
  <c r="C52" i="16"/>
  <c r="D52" i="16" s="1"/>
  <c r="D44" i="16" l="1"/>
  <c r="D53" i="16" s="1"/>
  <c r="E88" i="16" s="1"/>
  <c r="C53" i="16"/>
  <c r="C88" i="16" s="1"/>
  <c r="D13" i="16"/>
  <c r="D27" i="16"/>
  <c r="C33" i="16"/>
  <c r="D33" i="16" s="1"/>
  <c r="D34" i="16" l="1"/>
  <c r="E87" i="16" s="1"/>
  <c r="C34" i="16"/>
  <c r="C70" i="16" l="1"/>
  <c r="C87" i="16"/>
  <c r="C72" i="16" l="1"/>
  <c r="E70" i="16"/>
  <c r="E72" i="16" l="1"/>
  <c r="E73" i="16" s="1"/>
  <c r="C73" i="16"/>
  <c r="C75" i="16" s="1"/>
  <c r="C77" i="16" l="1"/>
  <c r="E75" i="16"/>
  <c r="E77" i="16" s="1"/>
  <c r="C81" i="16" l="1"/>
  <c r="E81" i="16" s="1"/>
  <c r="C80" i="16"/>
  <c r="C82" i="16"/>
  <c r="E82" i="16" s="1"/>
  <c r="C83" i="16" l="1"/>
  <c r="C84" i="16" s="1"/>
  <c r="E80" i="16"/>
  <c r="E83" i="16" s="1"/>
  <c r="C90" i="16" l="1"/>
  <c r="C91" i="16" s="1"/>
  <c r="E84" i="16"/>
  <c r="E90" i="16" s="1"/>
  <c r="E91" i="16" s="1"/>
  <c r="B83" i="15"/>
  <c r="C65" i="15"/>
  <c r="E65" i="15" s="1"/>
  <c r="C64" i="15"/>
  <c r="F64" i="15" s="1"/>
  <c r="C63" i="15"/>
  <c r="E63" i="15" s="1"/>
  <c r="C62" i="15"/>
  <c r="E62" i="15" s="1"/>
  <c r="C61" i="15"/>
  <c r="E61" i="15" s="1"/>
  <c r="C60" i="15"/>
  <c r="F60" i="15" s="1"/>
  <c r="C59" i="15"/>
  <c r="E59" i="15" s="1"/>
  <c r="C58" i="15"/>
  <c r="E58" i="15" s="1"/>
  <c r="B52" i="15"/>
  <c r="B32" i="15"/>
  <c r="C32" i="15" s="1"/>
  <c r="D32" i="15" s="1"/>
  <c r="D31" i="15"/>
  <c r="D30" i="15"/>
  <c r="D29" i="15"/>
  <c r="B28" i="15"/>
  <c r="C28" i="15" s="1"/>
  <c r="D28" i="15" s="1"/>
  <c r="B24" i="15"/>
  <c r="B42" i="15" s="1"/>
  <c r="B44" i="15" s="1"/>
  <c r="B13" i="15"/>
  <c r="B6" i="15"/>
  <c r="D5" i="15" s="1"/>
  <c r="C43" i="15" s="1"/>
  <c r="B5" i="15"/>
  <c r="B27" i="15" s="1"/>
  <c r="F61" i="15" l="1"/>
  <c r="F65" i="15"/>
  <c r="B33" i="15"/>
  <c r="C27" i="15"/>
  <c r="F59" i="15"/>
  <c r="F63" i="15"/>
  <c r="E95" i="16"/>
  <c r="E96" i="16" s="1"/>
  <c r="G6" i="20"/>
  <c r="H6" i="20" s="1"/>
  <c r="I6" i="20" s="1"/>
  <c r="C16" i="15"/>
  <c r="C19" i="15"/>
  <c r="C22" i="15"/>
  <c r="C38" i="15"/>
  <c r="C41" i="15"/>
  <c r="C48" i="15"/>
  <c r="C51" i="15"/>
  <c r="C20" i="15"/>
  <c r="E60" i="15"/>
  <c r="E64" i="15"/>
  <c r="C42" i="15"/>
  <c r="F58" i="15"/>
  <c r="F62" i="15"/>
  <c r="E5" i="15"/>
  <c r="C49" i="15"/>
  <c r="C40" i="15"/>
  <c r="C47" i="15"/>
  <c r="C50" i="15"/>
  <c r="C12" i="15"/>
  <c r="C17" i="15"/>
  <c r="C23" i="15"/>
  <c r="C39" i="15"/>
  <c r="C18" i="15"/>
  <c r="C21" i="15"/>
  <c r="C11" i="15"/>
  <c r="C13" i="15" s="1"/>
  <c r="D13" i="15" s="1"/>
  <c r="C44" i="15" l="1"/>
  <c r="C66" i="15"/>
  <c r="C89" i="15"/>
  <c r="F66" i="15"/>
  <c r="E89" i="15" s="1"/>
  <c r="D44" i="15"/>
  <c r="D27" i="15"/>
  <c r="C33" i="15"/>
  <c r="D33" i="15" s="1"/>
  <c r="D50" i="15"/>
  <c r="D47" i="15"/>
  <c r="D40" i="15"/>
  <c r="D21" i="15"/>
  <c r="D18" i="15"/>
  <c r="D48" i="15"/>
  <c r="D19" i="15"/>
  <c r="D41" i="15"/>
  <c r="D49" i="15"/>
  <c r="D39" i="15"/>
  <c r="D23" i="15"/>
  <c r="D20" i="15"/>
  <c r="D17" i="15"/>
  <c r="D12" i="15"/>
  <c r="D22" i="15"/>
  <c r="D43" i="15"/>
  <c r="D11" i="15"/>
  <c r="D51" i="15"/>
  <c r="D38" i="15"/>
  <c r="D16" i="15"/>
  <c r="C52" i="15"/>
  <c r="D52" i="15" s="1"/>
  <c r="C24" i="15"/>
  <c r="D24" i="15" s="1"/>
  <c r="D42" i="15"/>
  <c r="D34" i="15" l="1"/>
  <c r="E87" i="15" s="1"/>
  <c r="C34" i="15"/>
  <c r="C53" i="15"/>
  <c r="C88" i="15" s="1"/>
  <c r="C70" i="15"/>
  <c r="C87" i="15"/>
  <c r="D53" i="15"/>
  <c r="E88" i="15" s="1"/>
  <c r="C72" i="15" l="1"/>
  <c r="E70" i="15"/>
  <c r="C73" i="15"/>
  <c r="C75" i="15" s="1"/>
  <c r="C77" i="15" l="1"/>
  <c r="E75" i="15"/>
  <c r="E72" i="15"/>
  <c r="E73" i="15" s="1"/>
  <c r="C82" i="15" l="1"/>
  <c r="E82" i="15" s="1"/>
  <c r="C81" i="15"/>
  <c r="E81" i="15" s="1"/>
  <c r="C80" i="15"/>
  <c r="E77" i="15"/>
  <c r="C83" i="15" l="1"/>
  <c r="C84" i="15" s="1"/>
  <c r="E80" i="15"/>
  <c r="E83" i="15" s="1"/>
  <c r="E84" i="15" l="1"/>
  <c r="E90" i="15" s="1"/>
  <c r="E91" i="15" s="1"/>
  <c r="C90" i="15"/>
  <c r="C91" i="15" s="1"/>
  <c r="E95" i="15" l="1"/>
  <c r="E96" i="15" s="1"/>
  <c r="G5" i="20"/>
  <c r="H5" i="20" s="1"/>
  <c r="I5" i="20" s="1"/>
  <c r="B6" i="14"/>
  <c r="B5" i="14" l="1"/>
  <c r="C12" i="14" l="1"/>
  <c r="C11" i="14"/>
  <c r="E5" i="14"/>
  <c r="C18" i="14"/>
  <c r="C48" i="14"/>
  <c r="C23" i="14"/>
  <c r="C19" i="14"/>
  <c r="C20" i="14"/>
  <c r="C47" i="14"/>
  <c r="C51" i="14"/>
  <c r="C50" i="14"/>
  <c r="C21" i="14"/>
  <c r="C17" i="14"/>
  <c r="C39" i="14"/>
  <c r="C41" i="14"/>
  <c r="C22" i="14"/>
  <c r="C49" i="14"/>
  <c r="C16" i="14"/>
  <c r="C38" i="14"/>
  <c r="C40" i="14"/>
  <c r="C43" i="14"/>
  <c r="B27" i="14"/>
  <c r="C27" i="14" s="1"/>
  <c r="B32" i="14"/>
  <c r="C32" i="14" s="1"/>
  <c r="B28" i="14"/>
  <c r="C28" i="14" s="1"/>
  <c r="D11" i="14" l="1"/>
  <c r="D12" i="14"/>
  <c r="C33" i="14"/>
  <c r="D33" i="14" s="1"/>
  <c r="D21" i="14"/>
  <c r="D38" i="14"/>
  <c r="D48" i="14"/>
  <c r="D22" i="14"/>
  <c r="D39" i="14"/>
  <c r="D23" i="14"/>
  <c r="D18" i="14"/>
  <c r="D41" i="14"/>
  <c r="D51" i="14"/>
  <c r="D20" i="14"/>
  <c r="D43" i="14"/>
  <c r="D47" i="14"/>
  <c r="D16" i="14"/>
  <c r="D49" i="14"/>
  <c r="D17" i="14"/>
  <c r="D40" i="14"/>
  <c r="D50" i="14"/>
  <c r="D19" i="14"/>
  <c r="C63" i="14"/>
  <c r="E63" i="14" s="1"/>
  <c r="C58" i="14"/>
  <c r="E58" i="14" s="1"/>
  <c r="C64" i="14"/>
  <c r="E64" i="14" s="1"/>
  <c r="C59" i="14"/>
  <c r="E59" i="14" s="1"/>
  <c r="C65" i="14"/>
  <c r="E65" i="14" s="1"/>
  <c r="C60" i="14"/>
  <c r="F60" i="14" s="1"/>
  <c r="C61" i="14"/>
  <c r="E61" i="14" s="1"/>
  <c r="C62" i="14"/>
  <c r="E62" i="14" s="1"/>
  <c r="D32" i="14"/>
  <c r="B83" i="14"/>
  <c r="B52" i="14"/>
  <c r="D31" i="14"/>
  <c r="D30" i="14"/>
  <c r="D29" i="14"/>
  <c r="D28" i="14"/>
  <c r="B24" i="14"/>
  <c r="B42" i="14" s="1"/>
  <c r="C42" i="14" s="1"/>
  <c r="B13" i="14"/>
  <c r="D42" i="14" l="1"/>
  <c r="F58" i="14"/>
  <c r="F62" i="14"/>
  <c r="F61" i="14"/>
  <c r="F63" i="14"/>
  <c r="F64" i="14"/>
  <c r="F59" i="14"/>
  <c r="F65" i="14"/>
  <c r="B44" i="14"/>
  <c r="B33" i="14"/>
  <c r="E60" i="14"/>
  <c r="C66" i="14" s="1"/>
  <c r="F66" i="14" l="1"/>
  <c r="E89" i="14" s="1"/>
  <c r="C13" i="14"/>
  <c r="C89" i="14" l="1"/>
  <c r="D27" i="14"/>
  <c r="C24" i="14"/>
  <c r="D24" i="14" s="1"/>
  <c r="D13" i="14"/>
  <c r="C44" i="14"/>
  <c r="D44" i="14" s="1"/>
  <c r="C52" i="14"/>
  <c r="D52" i="14" s="1"/>
  <c r="C34" i="14" l="1"/>
  <c r="C87" i="14" s="1"/>
  <c r="D34" i="14"/>
  <c r="E87" i="14" s="1"/>
  <c r="D53" i="14"/>
  <c r="E88" i="14" s="1"/>
  <c r="C53" i="14"/>
  <c r="C88" i="14" s="1"/>
  <c r="C70" i="14" l="1"/>
  <c r="C72" i="14" s="1"/>
  <c r="C73" i="14" s="1"/>
  <c r="C75" i="14" s="1"/>
  <c r="E70" i="14" l="1"/>
  <c r="C77" i="14"/>
  <c r="E75" i="14"/>
  <c r="E72" i="14"/>
  <c r="E73" i="14" l="1"/>
  <c r="C80" i="14"/>
  <c r="C82" i="14"/>
  <c r="E82" i="14" s="1"/>
  <c r="C81" i="14"/>
  <c r="E81" i="14" s="1"/>
  <c r="E77" i="14"/>
  <c r="C83" i="14" l="1"/>
  <c r="C84" i="14" s="1"/>
  <c r="E80" i="14"/>
  <c r="E83" i="14" s="1"/>
  <c r="C90" i="14" l="1"/>
  <c r="C91" i="14" s="1"/>
  <c r="E84" i="14"/>
  <c r="E90" i="14" s="1"/>
  <c r="E91" i="14" s="1"/>
  <c r="E98" i="14" l="1"/>
  <c r="E99" i="14" s="1"/>
  <c r="G4" i="20"/>
  <c r="H4" i="20" s="1"/>
  <c r="I4" i="20" l="1"/>
  <c r="H10" i="20"/>
  <c r="I10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8" authorId="0" shapeId="0" xr:uid="{BF875F7C-4B6D-4258-9B13-6A31BA669EFB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7" authorId="0" shapeId="0" xr:uid="{2AC13950-B868-4B95-B05A-92DC52B111E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8" authorId="0" shapeId="0" xr:uid="{5A107C2F-5576-4C7E-AE6F-E5B2FBD44B1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1" authorId="0" shapeId="0" xr:uid="{076791CC-1B95-4FDD-A90F-647A637B24BC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6" authorId="0" shapeId="0" xr:uid="{DC4F57C1-74CA-4B4B-9D50-E3FCB79DC794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8" authorId="0" shapeId="0" xr:uid="{EF2115D1-130E-4E8C-BA90-4C804F75B0CD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7" authorId="0" shapeId="0" xr:uid="{D86BE986-C631-47FC-8DBD-C9BF48BD7CE9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8" authorId="0" shapeId="0" xr:uid="{81C3B248-3910-48C6-A124-4410DBF13603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1" authorId="0" shapeId="0" xr:uid="{8DF0DD3C-1DB2-490C-A179-57B2E97190AA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6" authorId="0" shapeId="0" xr:uid="{3F8F0B92-CCB9-4724-9D33-4E50DC12BBBE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8" authorId="0" shapeId="0" xr:uid="{434B7695-0897-45CA-8427-2DA4CDE4320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7" authorId="0" shapeId="0" xr:uid="{8C0C1173-4A02-4644-BC6E-F254D094ADD7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8" authorId="0" shapeId="0" xr:uid="{BB6DFC21-B40D-4073-973C-009D9AFEE45E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1" authorId="0" shapeId="0" xr:uid="{09DBE1AE-04E8-4B10-9655-03A0AD0C120E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6" authorId="0" shapeId="0" xr:uid="{ED73936C-2E81-4964-BB87-2682851CBDD8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8" authorId="0" shapeId="0" xr:uid="{D0C7F873-97C2-403C-8405-F2FF33A561E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7" authorId="0" shapeId="0" xr:uid="{C2CB16F4-A266-45F6-A84E-38541B193F90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8" authorId="0" shapeId="0" xr:uid="{0C18D51E-9073-4021-B33A-0405A6C40AF1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1" authorId="0" shapeId="0" xr:uid="{50DAC0CD-7989-40AD-8333-0B85DB55F068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6" authorId="0" shapeId="0" xr:uid="{B7E109D1-4CC3-409C-A607-F06C871889E1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B18" authorId="0" shapeId="0" xr:uid="{752F8525-0A01-45F7-B10D-DE94906B4E10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7" authorId="0" shapeId="0" xr:uid="{D6D98CE8-1600-49FF-B775-758E3D5E5C7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38" authorId="0" shapeId="0" xr:uid="{B47E851B-7B4E-4B5A-AEAA-C2728EE8D2D1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1" authorId="0" shapeId="0" xr:uid="{2E690A37-CFEA-42BF-863B-FCB4619042D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6" authorId="0" shapeId="0" xr:uid="{95533030-C761-45DB-89EE-1FF38235E2E5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  <comment ref="A68" authorId="0" shapeId="0" xr:uid="{1AEDFFD1-1D3E-4D40-8AC0-0D6621954495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((Salário-hora + 50% ) X adicional noturno%) x dias trabalhados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compras1</author>
  </authors>
  <commentList>
    <comment ref="A9" authorId="0" shapeId="0" xr:uid="{66CB3ED9-8844-4293-804B-E4A9DB14F394}">
      <text>
        <r>
          <rPr>
            <b/>
            <sz val="9"/>
            <color indexed="81"/>
            <rFont val="Segoe UI"/>
            <charset val="1"/>
          </rPr>
          <t>compras1:</t>
        </r>
        <r>
          <rPr>
            <sz val="9"/>
            <color indexed="81"/>
            <rFont val="Segoe UI"/>
            <charset val="1"/>
          </rPr>
          <t xml:space="preserve">
9 = horas noturnas. 22h às 7h da manhã, conforme Súmula nº 60 do TST.</t>
        </r>
      </text>
    </comment>
    <comment ref="B9" authorId="0" shapeId="0" xr:uid="{F50693CC-8F98-4282-83F4-8E7E57E65F11}">
      <text>
        <r>
          <rPr>
            <b/>
            <sz val="9"/>
            <color indexed="81"/>
            <rFont val="Segoe UI"/>
            <charset val="1"/>
          </rPr>
          <t>compras1:</t>
        </r>
        <r>
          <rPr>
            <sz val="9"/>
            <color indexed="81"/>
            <rFont val="Segoe UI"/>
            <charset val="1"/>
          </rPr>
          <t xml:space="preserve">
[ HORA(S) NOTURNA(S) NORMAI(S) x (R$ SALÁRIO HORA x % ADICIONAL NOTURNO) ] x DIA(S) TRABALHADO(S)</t>
        </r>
      </text>
    </comment>
    <comment ref="A10" authorId="0" shapeId="0" xr:uid="{BCA5D11E-51B2-4778-820A-FC16722D1D74}">
      <text>
        <r>
          <rPr>
            <b/>
            <sz val="9"/>
            <color indexed="81"/>
            <rFont val="Segoe UI"/>
            <charset val="1"/>
          </rPr>
          <t>compras1:</t>
        </r>
        <r>
          <rPr>
            <sz val="9"/>
            <color indexed="81"/>
            <rFont val="Segoe UI"/>
            <charset val="1"/>
          </rPr>
          <t xml:space="preserve">
Considera-se horário noturno reduzido também a jornada de trabalho do empregado que transcorre entre 22h da noite e 5h da manhã até o horário de sua saída, como sairá as 07h a quantidade para este cálculo será de09 horas.</t>
        </r>
      </text>
    </comment>
    <comment ref="B10" authorId="0" shapeId="0" xr:uid="{D0A11E87-F529-48C7-87AE-8236E5500E90}">
      <text>
        <r>
          <rPr>
            <b/>
            <sz val="9"/>
            <color indexed="81"/>
            <rFont val="Segoe UI"/>
            <charset val="1"/>
          </rPr>
          <t>compras1:</t>
        </r>
        <r>
          <rPr>
            <sz val="9"/>
            <color indexed="81"/>
            <rFont val="Segoe UI"/>
            <charset val="1"/>
          </rPr>
          <t xml:space="preserve">
[ HORA(S) NOTURNA(S) REDUZIDA(S) x (SALÁRIO HORA + ADICIONAL NOTURNO) ] x DIA(S) TRABALHADO(S)</t>
        </r>
      </text>
    </comment>
    <comment ref="B20" authorId="0" shapeId="0" xr:uid="{CAA0A51B-91D6-45A8-B662-2AD769567BC2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onde RAT = 1, 2 ou 3% e FAP varia entre 0,5 e 2,0%</t>
        </r>
      </text>
    </comment>
    <comment ref="B29" authorId="0" shapeId="0" xr:uid="{5FCF0506-0D9E-48E2-9972-21A493FE88BD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Zerar em caso de valor negativo</t>
        </r>
      </text>
    </comment>
    <comment ref="B40" authorId="0" shapeId="0" xr:uid="{6078F2C7-9047-4802-A90F-B26CD7F42FC6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compras1:
Aviso Prévio
O aviso prévio tem basicamente três finalidades distintas:
1. comunicar a uma ou outra parte que não há mais interesse na continuação do contrato de trabalho;
2. estabelecer um tempo mínimo para que a empresa consiga um novo colaborador e/ou o colaborador consiga um novo emprego;
3. estabelecer um pagamento que deverá ser efetuado caso essa comunicação não seja cumprida.
Aviso Prévio Indenizado
Valor devido ao empregado no caso de o empregador rescindir o contrato sem justo motivo e sem lhe conceder aviso prévio, conforme
disposto no §1º do art. 487 da CLT.
Devido à imprevisibilidade, esse é um montante que a empresa deverá provisionar.
O estudo do CNJ – publicado pela Resolução 98/2009 estabeleceu que (ROTATIVIDADE = 5%):
De acordo com levantamento efetuado em diversos contratos, cerca de 5% do pessoal é demitido pelo empregador, antes do término do contrato de trabalho. ((1/12)x 0,05) x 100 = 0,42%. 
Lei 12.506/2011 – 3 dias por ano de trabalho (até 60 dias adicionais)</t>
        </r>
      </text>
    </comment>
    <comment ref="B43" authorId="0" shapeId="0" xr:uid="{62EC04D1-0F93-436F-9583-1A5C578D5420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Aviso Prévio Trabalhado
Aviso Prévio Trabalhado: Refere-se aos sete dias corridos que o empregado pode faltar quando está trabalhando sob aviso prévio, conforme disposto no art. 488 da CLT.
Considerando que ao final dos 12 meses de contrato todos
serão demitidos (100%). Logo a provisão representa: ((7/30)/12)x 100 = 1,94%</t>
        </r>
      </text>
    </comment>
    <comment ref="C58" authorId="0" shapeId="0" xr:uid="{E3DE6CEA-F4D0-4B78-9D5C-E10516DC58A5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Observar o TR para definição de quantidade (Quantidade de funcionários x quantidade de EPI necessário)
</t>
        </r>
      </text>
    </comment>
    <comment ref="A70" authorId="0" shapeId="0" xr:uid="{0D92A446-30FE-41DD-A2E6-57E8385E04EF}">
      <text>
        <r>
          <rPr>
            <b/>
            <sz val="9"/>
            <color indexed="81"/>
            <rFont val="Segoe UI"/>
            <family val="2"/>
          </rPr>
          <t>compras1:</t>
        </r>
        <r>
          <rPr>
            <sz val="9"/>
            <color indexed="81"/>
            <rFont val="Segoe UI"/>
            <family val="2"/>
          </rPr>
          <t xml:space="preserve">
((Salário-hora + 50% ) X adicional noturno%) x dias trabalhados</t>
        </r>
      </text>
    </comment>
  </commentList>
</comments>
</file>

<file path=xl/sharedStrings.xml><?xml version="1.0" encoding="utf-8"?>
<sst xmlns="http://schemas.openxmlformats.org/spreadsheetml/2006/main" count="858" uniqueCount="181">
  <si>
    <t>Valor Unitário</t>
  </si>
  <si>
    <t>Alíquota</t>
  </si>
  <si>
    <t>Valor Anual / Total</t>
  </si>
  <si>
    <t>Valor Anual/Total</t>
  </si>
  <si>
    <t>TOTAL DO MÓDULO 1: CUSTOS DE MÃO DE OBRA (INCLUI ENCARGOS PREVIDENCIÁRIOS E FGTS)</t>
  </si>
  <si>
    <t>Módulo 1</t>
  </si>
  <si>
    <t>Módulo 2</t>
  </si>
  <si>
    <t>Módulo 3</t>
  </si>
  <si>
    <t>Módulo 4</t>
  </si>
  <si>
    <t>Local e Data</t>
  </si>
  <si>
    <t>Assinatura do Responsável</t>
  </si>
  <si>
    <t>MÓDULO 1.1: MÃO DE OBRA SEM INCIDÊNCIA DE ENCARGOS PREVIDENCIÁRIOS E FGTS</t>
  </si>
  <si>
    <t>Valor Mensal</t>
  </si>
  <si>
    <t>MÓDULO 1.2: 13°, FÉRIAS E ADICIONAL DE FÉRIAS</t>
  </si>
  <si>
    <t>Total Módulo 1.2: 13°, Férias e adicional de férias</t>
  </si>
  <si>
    <t>MÓDULO 1.3: GPS, FGTS E OUTRAS CONTRIBUIÇÕES</t>
  </si>
  <si>
    <t>Total Módulo 1.3:  GPS, FGTS e outras contribuições</t>
  </si>
  <si>
    <t>B - Auxílio-Refeição/Alimentação</t>
  </si>
  <si>
    <t>C - Assistência médica e Familiar</t>
  </si>
  <si>
    <t>D - Benefício Social Familiar (BSF)</t>
  </si>
  <si>
    <t>A - 13° Salário, Férias, Adicional de férias</t>
  </si>
  <si>
    <t>A - INSS</t>
  </si>
  <si>
    <t>Referência Unitário</t>
  </si>
  <si>
    <t>MÓDULO 1 - COMPOSIÇÃO DA REMUNERAÇÃO</t>
  </si>
  <si>
    <t>A - Aviso prévio indenizado</t>
  </si>
  <si>
    <t>B - Incidência do FGTS sobre o aviso prévio indenizado</t>
  </si>
  <si>
    <t>C - Multa do FGTS do aviso prévio indenizado</t>
  </si>
  <si>
    <t>D - Aviso prévio trabalhado</t>
  </si>
  <si>
    <t>E - Incidência do submódulo 2.2 sobre aviso prévio trabalhado</t>
  </si>
  <si>
    <t>F - Multa do FGTS sobre o aviso prévio trabalhado</t>
  </si>
  <si>
    <t>MÓDULO 2.1: PROVISÃO PARA RESCISÃO</t>
  </si>
  <si>
    <t>MÓDULO 2: PROVISÃO PARA RESCISÃO E CUSTO DE REPOSIÇÃO DO PROFISSIONAL AUSENTE</t>
  </si>
  <si>
    <t>MÓDULO 2.2: REPOSIÇÃO DO PROFISSIONAL AUSENTE</t>
  </si>
  <si>
    <t>A - Substituto na cobertura de Férias</t>
  </si>
  <si>
    <t>B - Substituto na cobertura de Licença-Paternidade</t>
  </si>
  <si>
    <t xml:space="preserve">C -Substituto na cobertura de Ausência por acidente de trabalho </t>
  </si>
  <si>
    <t>D - Substituto na cobertura de Afastamento Maternidade</t>
  </si>
  <si>
    <t>E - Substituto na cobertura de Ausências Legais</t>
  </si>
  <si>
    <t>Total Módulo 2.1: Provisão Para Rescisão</t>
  </si>
  <si>
    <t>Total Módulo 2.2: Provisão Para Rescisão</t>
  </si>
  <si>
    <t>TOTAL DO MÓDULO 2: PROVISÃO PARA RESCISÃO E CUSTO DE REPOSIÇÃO DO PROFISSIONAL AUSENTE</t>
  </si>
  <si>
    <t>MÓDULO 5: CUSTOS INDIRETOS, TRIBUTOS E LUCROS</t>
  </si>
  <si>
    <t xml:space="preserve">Valor Anual/Total </t>
  </si>
  <si>
    <t>%</t>
  </si>
  <si>
    <t>B - Lucro</t>
  </si>
  <si>
    <t>C - Tributos</t>
  </si>
  <si>
    <t>BASE DE CÁLCULO DOS TRIBUTOS</t>
  </si>
  <si>
    <t xml:space="preserve">CÁLCULO DOS TRIBUTOS = Base de Cálculo dos Tributos / (1-(Total de Tributos em % dividido por 100)] x Alíquota do tributo </t>
  </si>
  <si>
    <t xml:space="preserve">   C1. Tributos Federais</t>
  </si>
  <si>
    <t xml:space="preserve">        COFINS</t>
  </si>
  <si>
    <t xml:space="preserve">        PIS</t>
  </si>
  <si>
    <t xml:space="preserve">   SUBTOTAL Tributos</t>
  </si>
  <si>
    <r>
      <t>A - Custos indiretos</t>
    </r>
    <r>
      <rPr>
        <sz val="9"/>
        <rFont val="Calibri"/>
        <family val="2"/>
        <scheme val="minor"/>
      </rPr>
      <t xml:space="preserve"> </t>
    </r>
  </si>
  <si>
    <r>
      <t xml:space="preserve">   C2. Tributos Municipais  - </t>
    </r>
    <r>
      <rPr>
        <b/>
        <sz val="9"/>
        <rFont val="Calibri"/>
        <family val="2"/>
        <scheme val="minor"/>
      </rPr>
      <t>ISS</t>
    </r>
  </si>
  <si>
    <t>VALOR TOTAL DOS MÓDULOS</t>
  </si>
  <si>
    <t>Fundamentação: art. 7º, inciso VIII, da C.F., Lei nº 4.090/62 e Lei nº 7.787/89. (1 salário / 12 meses)</t>
  </si>
  <si>
    <t>(1/3) do salário / 12 (meses) * 100 = 2,78%</t>
  </si>
  <si>
    <t>B - Salário Educação</t>
  </si>
  <si>
    <t>C - RAT = RAT X FAP</t>
  </si>
  <si>
    <t>D - SESC ou SESI</t>
  </si>
  <si>
    <t>E - SENAI - SENAC</t>
  </si>
  <si>
    <t>F -  SEBRAE</t>
  </si>
  <si>
    <t>G - INCRA</t>
  </si>
  <si>
    <t>H - FGTS</t>
  </si>
  <si>
    <t>Fundamentação: art. 22, inciso I da Lei nº 8.212/91.</t>
  </si>
  <si>
    <t>Decreto n.º 6.003, de 20 de dezembro de 2006, regulamenta a contribuição social do salário educação.</t>
  </si>
  <si>
    <t>A alíquota do SAT refere-se ao risco da atividade preponderante da empresa, individualizado de acordo com o seu Fator Acidentário de Prevenção (FAP), conforme Decreto Federal nº 6.957/2009.</t>
  </si>
  <si>
    <t>Fundamentação: art. 30 da Lei nº 8.036/90.</t>
  </si>
  <si>
    <t>Fundamentação: Decreto-Lei nº 6.246/44 e 8.621/46</t>
  </si>
  <si>
    <t>Fundamentação: Lei nº 8.029/90, alterada pela Lei nº 8.154/90.</t>
  </si>
  <si>
    <t>Fundamentação: art. 1º, inciso I, do Decreto-Lei nº 1.146/70.</t>
  </si>
  <si>
    <t>Fundamentação: art. 15 da Lei nº 8.036/90 e art. 7º, inciso III, da Constituição Federal de 1988.</t>
  </si>
  <si>
    <t>Devido à imprevisibilidade, esse é um montante que a empresa deverá provisionar.</t>
  </si>
  <si>
    <t>8% (alíquota do FGTS) sobre o valor do API. (8% x 0,42% = 0,033%)</t>
  </si>
  <si>
    <t>50% do valor da incidência do FGTS sobre o API. (50% x 0,033% = 0,016%)</t>
  </si>
  <si>
    <t>art. 488 da CLT. ((7/30)/12)x 100 = 1,94%</t>
  </si>
  <si>
    <t>Alíquota total do submódulo 2.2 sobre o valor do APT.</t>
  </si>
  <si>
    <t>50% do valor da incidência do FGTS sobre o APT. (50% x 8% x 1,94% = 0,077%)</t>
  </si>
  <si>
    <t>C. F. art. 7º, inciso VIII, Lei nº 4.090/62 e Lei nº 7.787/89</t>
  </si>
  <si>
    <t>Lei Federal 11.770/2008, atualizada pela Lei 13.257/2016</t>
  </si>
  <si>
    <t>Artigo 27 do Decreto nº 89.312</t>
  </si>
  <si>
    <t>Fundamentação: arts. 473 e 83 da CLT.</t>
  </si>
  <si>
    <t>IN 05/2017 – Anexo I</t>
  </si>
  <si>
    <t>art. 3º - CTN – Lei nº 5.172/66</t>
  </si>
  <si>
    <t>Art. 2º da Lei 10.833/03</t>
  </si>
  <si>
    <t>Lei nº 10.637/02.</t>
  </si>
  <si>
    <t>Segundo o CTN, até 5% de acordo com o serviço</t>
  </si>
  <si>
    <t>IN 05/2017 - O manual de orientação do MPOG estabelece como valores
limites para os serviços de vigilância e limpeza os
percentuais de 6% e 3%, respectivamente.</t>
  </si>
  <si>
    <t>F - Auxílio Alimentação nas Férias</t>
  </si>
  <si>
    <t>Total Módulo 1.4:  Benefícios mensais e diários</t>
  </si>
  <si>
    <t>Qtd anual por funcionário</t>
  </si>
  <si>
    <t>E - Fundo de Formação Profissional</t>
  </si>
  <si>
    <t>Lei nº 7.418/1985: obrigação de pagar deslocamentos do trabalhador no percurso residência-trabalho-residência. O empregador participará dos gastos de deslocamento do trabalhador com a ajuda de custo equivalente à parcela que exceder a 6% (seis por cento) de seu salário básico.</t>
  </si>
  <si>
    <t>A - Transporte (24 dias trabalhados x 3,80 valor da passagem x 2) - (6% do salário)</t>
  </si>
  <si>
    <t>MÓDULO 1.4: BENEFÍCIOS MENSAIS E DIÁRIOS</t>
  </si>
  <si>
    <t>EPIS</t>
  </si>
  <si>
    <t>Valor Mensal EPIs</t>
  </si>
  <si>
    <t>MÓDULO 4: CUSTOS INDIRETOS, TRIBUTOS E LUCROS</t>
  </si>
  <si>
    <t>TOTAL MÓDULO 4: CUSTOS INDIRETOS, TRIBUTAÇÃO E LUCROS</t>
  </si>
  <si>
    <t>BASE DE CÁLCULO DOS CUSTOS INDIRETOS/DESPESAS OPERACIONAIS/ADMINISTRATIVAS  (Módulo 1 + Módulo 2+ Módulo 3)</t>
  </si>
  <si>
    <t xml:space="preserve">BASE DE CÁLCULO DO LUCRO = (Módulo 1 + Módulo 2+ Módulo 3 + Custos Indiretos) </t>
  </si>
  <si>
    <t>FUNDAMENTAÇÃO</t>
  </si>
  <si>
    <t>B - Férias e Adicional de férias s (O custo com o valor pago ao substituto durante as férias do titular consta na letra "A" do submódulo 4)</t>
  </si>
  <si>
    <t>B - Férias e Adicional de férias</t>
  </si>
  <si>
    <t>Quantidade Anual Total</t>
  </si>
  <si>
    <t>CLÁUSULA DÉCIMA SEXTA DA CCT.</t>
  </si>
  <si>
    <t>CLÁUSULA DÉCIMA SÉTIMA DA CCT.</t>
  </si>
  <si>
    <t>CLÁUSULA VIGÉSIMA TERCEIRA DA CCT.</t>
  </si>
  <si>
    <t>CLÁUSULA DÉCIMA TERCEIRA DA CCT.</t>
  </si>
  <si>
    <t>Estimativa com base na quantidade necessária para o processo e nos preços de mercado.</t>
  </si>
  <si>
    <t>MUNICÍPIO DE CORONEL VIVIDA
MODELO DE PLANILHA DE FORMAÇÃO DE CUSTOS - ITEM 01</t>
  </si>
  <si>
    <t>SERVENTE DE LIMPEZA E COPEIRA 08 HORAS DIÁRIAS, DE SEGUNDA A SEXTA-FEIRA, TOTALIZANDO 40 HORAS SEMANAIS.</t>
  </si>
  <si>
    <t>B - GRATIFICAÇÃO POR CUMULAÇÃO DE FUNÇÃO</t>
  </si>
  <si>
    <t>Valor</t>
  </si>
  <si>
    <t>A - SERVENTE (40 HORAS SEMANAIS)</t>
  </si>
  <si>
    <t>MÓDULO 3: CUSTOS COM INSUMOS DIVERSOS</t>
  </si>
  <si>
    <t>MÓDULO 3.1: EPIS E UNIFORMES</t>
  </si>
  <si>
    <t>A- Calça brim</t>
  </si>
  <si>
    <t>B - Camisa manga curta</t>
  </si>
  <si>
    <t>C - Avental</t>
  </si>
  <si>
    <t>D - Rede de cabelo</t>
  </si>
  <si>
    <t>E - Luva nitrílica</t>
  </si>
  <si>
    <t>F - Calçado de segurança</t>
  </si>
  <si>
    <t>G - Bota de limpeza</t>
  </si>
  <si>
    <t>H - Óculos de segurança</t>
  </si>
  <si>
    <t>Tabela de salários da SIEMACO 2025</t>
  </si>
  <si>
    <t>A - SALÁRIO</t>
  </si>
  <si>
    <t>MÓDULO 3: CUSTOS COM INSUMOS</t>
  </si>
  <si>
    <t>CLÁUSULA DÉCIMA TERCEIRA DA CCT (R$ 805,00 - 20%)</t>
  </si>
  <si>
    <t>Quantidade (referência)</t>
  </si>
  <si>
    <t>QUANTIDADE DE FUNCIONÁRIOS</t>
  </si>
  <si>
    <t xml:space="preserve">VALOR TOTAL MENSAL </t>
  </si>
  <si>
    <t>VALOR TOTAL ANUAL</t>
  </si>
  <si>
    <t>MUNICÍPIO DE CORONEL VIVIDA
MODELO DE PLANILHA DE FORMAÇÃO DE CUSTOS - ITEM 02</t>
  </si>
  <si>
    <t>SERVENTE DE LIMPEZA E COPEIRA 04 HORAS DIÁRIAS, DE SEGUNDA A SEXTA-FEIRA, TOTALIZANDO 20 HORAS SEMANAIS.</t>
  </si>
  <si>
    <t>A - SERVENTE (20 HORAS SEMANAIS)</t>
  </si>
  <si>
    <t>MUNICÍPIO DE CORONEL VIVIDA
MODELO DE PLANILHA DE FORMAÇÃO DE CUSTOS - ITEM 03</t>
  </si>
  <si>
    <t>SERVENTE DE LIMPEZA 08 HORAS DIÁRIAS, DE SEGUNDA A SEXTA- FEIRA, TOTALIZANDO 40 HORAS SEMANAIS.</t>
  </si>
  <si>
    <t>MUNICÍPIO DE CORONEL VIVIDA
MODELO DE PLANILHA DE FORMAÇÃO DE CUSTOS - ITEM 04</t>
  </si>
  <si>
    <t>SERVENTE DE LIMPEZA 04 HORAS DIÁRIAS, DE SEGUNDA A SEXTA- FEIRA, TOTALIZANDO 20 HORAS SEMANAIS.</t>
  </si>
  <si>
    <t>MUNICÍPIO DE CORONEL VIVIDA
MODELO DE PLANILHA DE FORMAÇÃO DE CUSTOS - ITEM 05</t>
  </si>
  <si>
    <t>SERVENTE DE LIMPEZA E COPEIRA, ESCALA DE 12X36, DIURNO, DAS 07H AS 19H, COM SUPRESSÃO DE INTRAJORNADA TOTALIZANDO 44 HORAS SEMANAIS.</t>
  </si>
  <si>
    <t>A - SERVENTE (44 HORAS SEMANAIS)</t>
  </si>
  <si>
    <t>MÓDULO 4: Intervalo Intrajornada</t>
  </si>
  <si>
    <t>A - Supressão do intervalo para repouso ou alimentação</t>
  </si>
  <si>
    <t>TOTAL DO MÓDULO 4: INTERVALO INTRAJORNADA</t>
  </si>
  <si>
    <t>TOTAL MÓDULO 5: CUSTOS INDIRETOS, TRIBUTAÇÃO E LUCROS</t>
  </si>
  <si>
    <t>Módulo 5</t>
  </si>
  <si>
    <t>MUNICÍPIO DE CORONEL VIVIDA
MODELO DE PLANILHA DE FORMAÇÃO DE CUSTOS - ITEM 06</t>
  </si>
  <si>
    <t>SERVENTE DE LIMPEZA E COPEIRA, ESCALA DE 12X36, NOTURNO, DAS 19H AS 07H COM PREVISÃO DE INTRAJORNADA, TOTALIZANDO 44 HORAS SEMANAIS.</t>
  </si>
  <si>
    <t>Artigo 73 do Decreto Lei nº 5.452 de 01 de Maio de 1943. "Salvo nos casos de revezamento semanal ou quinzenal, o trabalho noturno terá remuneração superior a do diurno e, para esse efeito, sua remuneração terá um acréscimo de 20 % (vinte por cento), pelo menos, sobre a hora diurna. " (9 = horas noturnas. 22h às 7h da manhã, conforme Súmula nº 60 do TST.)</t>
  </si>
  <si>
    <t>Artigo 73 do Decreto Lei nº 5.452 de 01 de Maio de 1943. "§ 1º A hora do trabalho noturno será computada como de 52 minutos e 30 segundos." (9 = horas noturnas. 22h às 7h da manhã, conforme Súmula nº 60 do TST.)</t>
  </si>
  <si>
    <t>Intervalo para repouso ou alimentação em qualquer trabalho contínuo, superior a 6 horas. A não concessão do intervalo obriga o empregador a pagar por esse período, nos termos da lei. (Intervalo mínimo reduzido para 30 minutos – art. 611-A da CLT). Salário-hora X Dias trabalhados no mês (sem intervalo) X 1,5 (Adicional de 50%)</t>
  </si>
  <si>
    <t>CUSTO ESTIMADO PARA CONTRATAÇÃO</t>
  </si>
  <si>
    <t>LOTE</t>
  </si>
  <si>
    <t>ITEM</t>
  </si>
  <si>
    <t>CÓDIGO LC</t>
  </si>
  <si>
    <t>SERVIÇOS</t>
  </si>
  <si>
    <t>QUANTIDADE DE FUNCIONÁRIOS POR FUNÇÃO</t>
  </si>
  <si>
    <t>QUANTIDADE ANUAL EM FUNÇÃO DA UNIDADE DE MEDIDA (Qtd x 12 meses)</t>
  </si>
  <si>
    <t>VALORES UNITÁRIOS CONFORME PLANILHAS DE CUSTOS</t>
  </si>
  <si>
    <t>CUSTO MENSAL MÁXIMO R$</t>
  </si>
  <si>
    <t xml:space="preserve">CUSTO ANUAL MÁXIMO R$ </t>
  </si>
  <si>
    <r>
      <rPr>
        <b/>
        <sz val="10"/>
        <rFont val="Calibri"/>
        <family val="2"/>
      </rPr>
      <t xml:space="preserve">SERVENTE DE LIMPEZA E COPEIRA </t>
    </r>
    <r>
      <rPr>
        <sz val="10"/>
        <rFont val="Calibri"/>
        <family val="2"/>
      </rPr>
      <t xml:space="preserve">08 HORAS DIÁRIAS, DE SEGUNDA A SEXTA-FEIRA, TOTALIZANDO </t>
    </r>
    <r>
      <rPr>
        <b/>
        <sz val="10"/>
        <rFont val="Calibri"/>
        <family val="2"/>
      </rPr>
      <t>40 HORAS</t>
    </r>
    <r>
      <rPr>
        <sz val="10"/>
        <rFont val="Calibri"/>
        <family val="2"/>
      </rPr>
      <t xml:space="preserve"> SEMANAIS.</t>
    </r>
  </si>
  <si>
    <r>
      <rPr>
        <b/>
        <sz val="10"/>
        <rFont val="Calibri"/>
        <family val="2"/>
      </rPr>
      <t>SERVENTE DE LIMPEZA E COPEIRA</t>
    </r>
    <r>
      <rPr>
        <sz val="10"/>
        <rFont val="Calibri"/>
        <family val="2"/>
      </rPr>
      <t xml:space="preserve"> 04 HORAS DIÁRIAS, DE SEGUNDA A SEXTA-FEIRA, TOTALIZANDO </t>
    </r>
    <r>
      <rPr>
        <b/>
        <sz val="10"/>
        <rFont val="Calibri"/>
        <family val="2"/>
      </rPr>
      <t>20 HORAS</t>
    </r>
    <r>
      <rPr>
        <sz val="10"/>
        <rFont val="Calibri"/>
        <family val="2"/>
      </rPr>
      <t xml:space="preserve"> SEMANAIS.</t>
    </r>
  </si>
  <si>
    <r>
      <rPr>
        <b/>
        <sz val="10"/>
        <rFont val="Calibri"/>
        <family val="2"/>
      </rPr>
      <t>SERVENTE DE LIMPEZA</t>
    </r>
    <r>
      <rPr>
        <sz val="10"/>
        <rFont val="Calibri"/>
        <family val="2"/>
      </rPr>
      <t xml:space="preserve"> 08 HORAS DIÁRIAS, DE SEGUNDA A SEXTA- FEIRA, TOTALIZANDO </t>
    </r>
    <r>
      <rPr>
        <b/>
        <sz val="10"/>
        <rFont val="Calibri"/>
        <family val="2"/>
      </rPr>
      <t>40 HORAS</t>
    </r>
    <r>
      <rPr>
        <sz val="10"/>
        <rFont val="Calibri"/>
        <family val="2"/>
      </rPr>
      <t xml:space="preserve"> SEMANAIS.</t>
    </r>
  </si>
  <si>
    <r>
      <rPr>
        <b/>
        <sz val="10"/>
        <rFont val="Calibri"/>
        <family val="2"/>
      </rPr>
      <t>SERVENTE DE LIMPEZA</t>
    </r>
    <r>
      <rPr>
        <sz val="10"/>
        <rFont val="Calibri"/>
        <family val="2"/>
      </rPr>
      <t xml:space="preserve"> 04 HORAS DIÁRIAS, DE SEGUNDA A SEXTA- FEIRA, TOTALIZANDO</t>
    </r>
    <r>
      <rPr>
        <b/>
        <sz val="10"/>
        <rFont val="Calibri"/>
        <family val="2"/>
      </rPr>
      <t xml:space="preserve"> 20 HORAS</t>
    </r>
    <r>
      <rPr>
        <sz val="10"/>
        <rFont val="Calibri"/>
        <family val="2"/>
      </rPr>
      <t xml:space="preserve"> SEMANAIS.</t>
    </r>
  </si>
  <si>
    <r>
      <rPr>
        <b/>
        <sz val="10"/>
        <rFont val="Calibri"/>
        <family val="2"/>
      </rPr>
      <t xml:space="preserve">SERVENTE DE LIMPEZA E COPEIRA, </t>
    </r>
    <r>
      <rPr>
        <sz val="10"/>
        <rFont val="Calibri"/>
        <family val="2"/>
      </rPr>
      <t>ESCALA DE</t>
    </r>
    <r>
      <rPr>
        <b/>
        <sz val="10"/>
        <rFont val="Calibri"/>
        <family val="2"/>
      </rPr>
      <t xml:space="preserve"> 12X36, DIURNO, DAS 07H AS 19H</t>
    </r>
    <r>
      <rPr>
        <sz val="10"/>
        <rFont val="Calibri"/>
        <family val="2"/>
      </rPr>
      <t>, COM SUPRESSÃO DE INTRAJORNADA TOTALIZANDO 44 HORAS SEMANAIS.</t>
    </r>
  </si>
  <si>
    <r>
      <rPr>
        <b/>
        <sz val="10"/>
        <rFont val="Calibri"/>
        <family val="2"/>
      </rPr>
      <t xml:space="preserve">SERVENTE DE LIMPEZA E COPEIRA, </t>
    </r>
    <r>
      <rPr>
        <sz val="10"/>
        <rFont val="Calibri"/>
        <family val="2"/>
      </rPr>
      <t>ESCALA DE</t>
    </r>
    <r>
      <rPr>
        <b/>
        <sz val="10"/>
        <rFont val="Calibri"/>
        <family val="2"/>
      </rPr>
      <t xml:space="preserve"> 12X36, NOTURNO, DAS 19H AS 07H COM PREVISÃO DE INTRAJORNADA</t>
    </r>
    <r>
      <rPr>
        <sz val="10"/>
        <rFont val="Calibri"/>
        <family val="2"/>
      </rPr>
      <t>, TOTALIZANDO 44 HORAS SEMANAIS.</t>
    </r>
  </si>
  <si>
    <t>CUSTO TOTAL MÁXIMO R$</t>
  </si>
  <si>
    <t>Planejamento de Contratação</t>
  </si>
  <si>
    <t>SÚMULA 448 DO TST - 40% do Salário mínimo nacional</t>
  </si>
  <si>
    <t>MÓDULO 4: INTRAJORNADA (ITENS 5 E 6)</t>
  </si>
  <si>
    <t>MÓDULO 5: CUSTOS INDIRETOS, TRIBUTOS E LUCROS (MÓDULO 4 ITENS 1 AO 4)</t>
  </si>
  <si>
    <t>Elaine Bortolotto</t>
  </si>
  <si>
    <t>C - GRATIFICAÇÃO POR CUMULAÇÃO DE FUNÇÃO (CAMAREIRA)</t>
  </si>
  <si>
    <t>D - INSALUBRIDADE (40% DO SALÁRIO MÍNIMO)</t>
  </si>
  <si>
    <t>E - ADICIONAL NOTURNO</t>
  </si>
  <si>
    <t>F - ADICIONAL DE HORA NOTURNA REDUZIDA</t>
  </si>
  <si>
    <t>Tabela de salários da SIEMACO 2025 - (02.01 – CUMULAÇÃO DE FUNÇÃO)</t>
  </si>
  <si>
    <t>Coronel Vivida, 13 de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</si>
</sst>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&quot;R$&quot;\ #,##0.00"/>
    <numFmt numFmtId="165" formatCode="0.000%"/>
    <numFmt numFmtId="166" formatCode="_(&quot;R$ &quot;* #,##0.00_);_(&quot;R$ &quot;* \(#,##0.00\);_(&quot;R$ &quot;* &quot;-&quot;??_);_(@_)"/>
    <numFmt numFmtId="167" formatCode="&quot;R$&quot;\ #,##0.000"/>
    <numFmt numFmtId="168" formatCode="_-[$R$-416]\ * #,##0.00_-;\-[$R$-416]\ * #,##0.00_-;_-[$R$-416]\ * &quot;-&quot;??_-;_-@_-"/>
    <numFmt numFmtId="169" formatCode="_ * #,##0.00_ ;_ * \-#,##0.00_ ;_ * &quot;-&quot;??_ ;_ @_ "/>
    <numFmt numFmtId="170" formatCode="_ * #,##0.0000_ ;_ * \-#,##0.0000_ ;_ * &quot;-&quot;??_ ;_ @_ "/>
  </numFmts>
  <fonts count="2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0" fontId="1" fillId="4" borderId="1" xfId="2" applyNumberFormat="1" applyFont="1" applyFill="1" applyBorder="1" applyAlignment="1">
      <alignment horizontal="center" vertical="center" wrapText="1"/>
    </xf>
    <xf numFmtId="165" fontId="1" fillId="4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center" vertical="center" wrapText="1"/>
    </xf>
    <xf numFmtId="10" fontId="2" fillId="12" borderId="1" xfId="2" applyNumberFormat="1" applyFont="1" applyFill="1" applyBorder="1" applyAlignment="1">
      <alignment horizontal="center" vertical="center" wrapText="1"/>
    </xf>
    <xf numFmtId="164" fontId="2" fillId="1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1" fillId="10" borderId="1" xfId="1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11" fillId="9" borderId="1" xfId="0" applyFont="1" applyFill="1" applyBorder="1" applyAlignment="1">
      <alignment horizontal="justify" vertical="center" wrapText="1"/>
    </xf>
    <xf numFmtId="10" fontId="11" fillId="9" borderId="1" xfId="2" applyNumberFormat="1" applyFont="1" applyFill="1" applyBorder="1" applyAlignment="1">
      <alignment horizontal="center" vertical="center" wrapText="1"/>
    </xf>
    <xf numFmtId="10" fontId="7" fillId="4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3" fillId="4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1" fontId="7" fillId="2" borderId="9" xfId="0" applyNumberFormat="1" applyFont="1" applyFill="1" applyBorder="1" applyAlignment="1">
      <alignment horizontal="center" vertical="top" shrinkToFit="1"/>
    </xf>
    <xf numFmtId="164" fontId="3" fillId="11" borderId="8" xfId="0" applyNumberFormat="1" applyFont="1" applyFill="1" applyBorder="1" applyAlignment="1">
      <alignment horizontal="center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164" fontId="12" fillId="0" borderId="0" xfId="0" applyNumberFormat="1" applyFont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44" fontId="7" fillId="4" borderId="1" xfId="1" applyFont="1" applyFill="1" applyBorder="1" applyAlignment="1">
      <alignment horizontal="center" vertical="top"/>
    </xf>
    <xf numFmtId="44" fontId="7" fillId="4" borderId="10" xfId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justify" vertical="center" wrapText="1"/>
    </xf>
    <xf numFmtId="0" fontId="1" fillId="14" borderId="1" xfId="0" applyFont="1" applyFill="1" applyBorder="1" applyAlignment="1">
      <alignment horizontal="left" vertical="center" wrapText="1"/>
    </xf>
    <xf numFmtId="164" fontId="1" fillId="14" borderId="1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vertical="center" wrapText="1"/>
    </xf>
    <xf numFmtId="164" fontId="3" fillId="14" borderId="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 vertical="center"/>
    </xf>
    <xf numFmtId="169" fontId="0" fillId="0" borderId="0" xfId="0" applyNumberFormat="1"/>
    <xf numFmtId="17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68" fontId="15" fillId="13" borderId="1" xfId="0" applyNumberFormat="1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66" fontId="10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166" fontId="4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166" fontId="11" fillId="9" borderId="1" xfId="0" applyNumberFormat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0" fillId="9" borderId="7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166" fontId="4" fillId="8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6" fontId="4" fillId="9" borderId="5" xfId="0" applyNumberFormat="1" applyFont="1" applyFill="1" applyBorder="1" applyAlignment="1">
      <alignment horizontal="center" vertical="center" wrapText="1"/>
    </xf>
    <xf numFmtId="166" fontId="4" fillId="9" borderId="6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44" fontId="1" fillId="10" borderId="5" xfId="1" applyFont="1" applyFill="1" applyBorder="1" applyAlignment="1">
      <alignment horizontal="center" vertical="center" wrapText="1"/>
    </xf>
    <xf numFmtId="44" fontId="1" fillId="10" borderId="6" xfId="1" applyFont="1" applyFill="1" applyBorder="1" applyAlignment="1">
      <alignment horizontal="center" vertical="center" wrapText="1"/>
    </xf>
    <xf numFmtId="44" fontId="2" fillId="10" borderId="5" xfId="1" applyFont="1" applyFill="1" applyBorder="1" applyAlignment="1">
      <alignment horizontal="center" vertical="center" wrapText="1"/>
    </xf>
    <xf numFmtId="44" fontId="2" fillId="10" borderId="6" xfId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6918-C05B-4D49-9DA6-378306716744}">
  <sheetPr>
    <pageSetUpPr fitToPage="1"/>
  </sheetPr>
  <dimension ref="A1:I19"/>
  <sheetViews>
    <sheetView workbookViewId="0">
      <selection activeCell="E14" sqref="E14"/>
    </sheetView>
  </sheetViews>
  <sheetFormatPr defaultRowHeight="15" x14ac:dyDescent="0.25"/>
  <cols>
    <col min="1" max="1" width="6.140625" customWidth="1"/>
    <col min="2" max="2" width="9.5703125" customWidth="1"/>
    <col min="3" max="3" width="7.42578125" bestFit="1" customWidth="1"/>
    <col min="4" max="4" width="54.140625" customWidth="1"/>
    <col min="5" max="5" width="13.7109375" customWidth="1"/>
    <col min="6" max="7" width="18.42578125" customWidth="1"/>
    <col min="8" max="8" width="16.7109375" customWidth="1"/>
    <col min="9" max="9" width="16.85546875" customWidth="1"/>
  </cols>
  <sheetData>
    <row r="1" spans="1:9" x14ac:dyDescent="0.25">
      <c r="A1" s="95" t="s">
        <v>153</v>
      </c>
      <c r="B1" s="95"/>
      <c r="C1" s="95"/>
      <c r="D1" s="95"/>
      <c r="E1" s="95"/>
      <c r="F1" s="95"/>
      <c r="G1" s="95"/>
      <c r="H1" s="95"/>
      <c r="I1" s="95"/>
    </row>
    <row r="2" spans="1:9" x14ac:dyDescent="0.25">
      <c r="A2" s="95"/>
      <c r="B2" s="95"/>
      <c r="C2" s="95"/>
      <c r="D2" s="95"/>
      <c r="E2" s="95"/>
      <c r="F2" s="95"/>
      <c r="G2" s="95"/>
      <c r="H2" s="95"/>
      <c r="I2" s="95"/>
    </row>
    <row r="3" spans="1:9" ht="51" x14ac:dyDescent="0.25">
      <c r="A3" s="78" t="s">
        <v>154</v>
      </c>
      <c r="B3" s="78" t="s">
        <v>155</v>
      </c>
      <c r="C3" s="78" t="s">
        <v>156</v>
      </c>
      <c r="D3" s="78" t="s">
        <v>157</v>
      </c>
      <c r="E3" s="78" t="s">
        <v>158</v>
      </c>
      <c r="F3" s="78" t="s">
        <v>159</v>
      </c>
      <c r="G3" s="79" t="s">
        <v>160</v>
      </c>
      <c r="H3" s="78" t="s">
        <v>161</v>
      </c>
      <c r="I3" s="78" t="s">
        <v>162</v>
      </c>
    </row>
    <row r="4" spans="1:9" ht="25.5" x14ac:dyDescent="0.25">
      <c r="A4" s="96">
        <v>1</v>
      </c>
      <c r="B4" s="80">
        <v>1</v>
      </c>
      <c r="C4" s="81">
        <v>23953</v>
      </c>
      <c r="D4" s="82" t="s">
        <v>163</v>
      </c>
      <c r="E4" s="83">
        <v>9</v>
      </c>
      <c r="F4" s="80">
        <f>E4*12</f>
        <v>108</v>
      </c>
      <c r="G4" s="84">
        <f>'ITEM 01 - SERVENTE COPEIRA 40H'!C91</f>
        <v>6161.1</v>
      </c>
      <c r="H4" s="84">
        <f>G4*E4</f>
        <v>55449.9</v>
      </c>
      <c r="I4" s="84">
        <f>H4*12</f>
        <v>665398.80000000005</v>
      </c>
    </row>
    <row r="5" spans="1:9" ht="25.5" x14ac:dyDescent="0.25">
      <c r="A5" s="97"/>
      <c r="B5" s="80">
        <v>2</v>
      </c>
      <c r="C5" s="85">
        <v>23954</v>
      </c>
      <c r="D5" s="82" t="s">
        <v>164</v>
      </c>
      <c r="E5" s="86">
        <v>2</v>
      </c>
      <c r="F5" s="80">
        <f t="shared" ref="F5:F9" si="0">E5*12</f>
        <v>24</v>
      </c>
      <c r="G5" s="84">
        <f>'ITEM 02 - SERVENTE COPEIRA 20H'!C91</f>
        <v>4457.8900000000003</v>
      </c>
      <c r="H5" s="84">
        <f>G5*E5</f>
        <v>8915.7800000000007</v>
      </c>
      <c r="I5" s="84">
        <f>H5*12</f>
        <v>106989.36</v>
      </c>
    </row>
    <row r="6" spans="1:9" ht="25.5" x14ac:dyDescent="0.25">
      <c r="A6" s="97"/>
      <c r="B6" s="80">
        <v>3</v>
      </c>
      <c r="C6" s="85">
        <v>23955</v>
      </c>
      <c r="D6" s="82" t="s">
        <v>165</v>
      </c>
      <c r="E6" s="87">
        <v>1</v>
      </c>
      <c r="F6" s="80">
        <f t="shared" si="0"/>
        <v>12</v>
      </c>
      <c r="G6" s="84">
        <f>'ITEM 03 - SERVENTE 40H'!C91</f>
        <v>5932.78</v>
      </c>
      <c r="H6" s="84">
        <f>G6*E6</f>
        <v>5932.78</v>
      </c>
      <c r="I6" s="84">
        <f t="shared" ref="I6:I9" si="1">H6*12</f>
        <v>71193.36</v>
      </c>
    </row>
    <row r="7" spans="1:9" ht="25.5" x14ac:dyDescent="0.25">
      <c r="A7" s="97"/>
      <c r="B7" s="80">
        <v>4</v>
      </c>
      <c r="C7" s="85">
        <v>23956</v>
      </c>
      <c r="D7" s="82" t="s">
        <v>166</v>
      </c>
      <c r="E7" s="86">
        <v>2</v>
      </c>
      <c r="F7" s="80">
        <f t="shared" si="0"/>
        <v>24</v>
      </c>
      <c r="G7" s="84">
        <f>'ITEM 04 - SERVENTE 20H'!C91</f>
        <v>4343.76</v>
      </c>
      <c r="H7" s="84">
        <f>G7*E7</f>
        <v>8687.52</v>
      </c>
      <c r="I7" s="84">
        <f t="shared" si="1"/>
        <v>104250.24000000001</v>
      </c>
    </row>
    <row r="8" spans="1:9" ht="38.25" x14ac:dyDescent="0.25">
      <c r="A8" s="97"/>
      <c r="B8" s="80">
        <v>5</v>
      </c>
      <c r="C8" s="80">
        <v>23957</v>
      </c>
      <c r="D8" s="82" t="s">
        <v>167</v>
      </c>
      <c r="E8" s="83">
        <v>2</v>
      </c>
      <c r="F8" s="80">
        <f t="shared" si="0"/>
        <v>24</v>
      </c>
      <c r="G8" s="84">
        <f>'5-SERVENTE COPEIRA 12X36 DIA'!C97</f>
        <v>6682.17</v>
      </c>
      <c r="H8" s="84">
        <f t="shared" ref="H8:H9" si="2">G8*E8</f>
        <v>13364.34</v>
      </c>
      <c r="I8" s="84">
        <f t="shared" si="1"/>
        <v>160372.07999999999</v>
      </c>
    </row>
    <row r="9" spans="1:9" ht="38.25" x14ac:dyDescent="0.25">
      <c r="A9" s="97"/>
      <c r="B9" s="80">
        <v>6</v>
      </c>
      <c r="C9" s="80">
        <v>23958</v>
      </c>
      <c r="D9" s="82" t="s">
        <v>168</v>
      </c>
      <c r="E9" s="83">
        <v>2</v>
      </c>
      <c r="F9" s="80">
        <f t="shared" si="0"/>
        <v>24</v>
      </c>
      <c r="G9" s="84">
        <f>'6-SERVENTE COPEIRA 12X36 NOITE'!C99</f>
        <v>7329.55</v>
      </c>
      <c r="H9" s="84">
        <f t="shared" si="2"/>
        <v>14659.1</v>
      </c>
      <c r="I9" s="84">
        <f t="shared" si="1"/>
        <v>175909.2</v>
      </c>
    </row>
    <row r="10" spans="1:9" x14ac:dyDescent="0.25">
      <c r="A10" s="98" t="s">
        <v>169</v>
      </c>
      <c r="B10" s="99"/>
      <c r="C10" s="99"/>
      <c r="D10" s="99"/>
      <c r="E10" s="99"/>
      <c r="F10" s="99"/>
      <c r="G10" s="100"/>
      <c r="H10" s="88">
        <f>SUM(H4:H9)</f>
        <v>107009.42</v>
      </c>
      <c r="I10" s="88">
        <f>SUM(I4:I9)</f>
        <v>1284113.04</v>
      </c>
    </row>
    <row r="13" spans="1:9" ht="15.75" x14ac:dyDescent="0.25">
      <c r="A13" s="93" t="s">
        <v>180</v>
      </c>
      <c r="B13" s="93"/>
      <c r="C13" s="93"/>
      <c r="D13" s="93"/>
      <c r="E13" s="93"/>
      <c r="F13" s="93"/>
      <c r="G13" s="93"/>
      <c r="H13" s="93"/>
      <c r="I13" s="93"/>
    </row>
    <row r="14" spans="1:9" x14ac:dyDescent="0.25">
      <c r="D14" s="89"/>
      <c r="E14" s="90"/>
      <c r="F14" s="89"/>
      <c r="G14" s="89"/>
      <c r="H14" s="91"/>
      <c r="I14" s="91"/>
    </row>
    <row r="15" spans="1:9" x14ac:dyDescent="0.25">
      <c r="D15" s="89"/>
      <c r="H15" s="91"/>
      <c r="I15" s="91"/>
    </row>
    <row r="16" spans="1:9" ht="15.75" x14ac:dyDescent="0.25">
      <c r="A16" s="94" t="s">
        <v>174</v>
      </c>
      <c r="B16" s="94"/>
      <c r="C16" s="94"/>
      <c r="D16" s="94"/>
      <c r="E16" s="94"/>
      <c r="F16" s="94"/>
      <c r="G16" s="94"/>
      <c r="H16" s="94"/>
      <c r="I16" s="94"/>
    </row>
    <row r="17" spans="1:9" ht="15.75" x14ac:dyDescent="0.25">
      <c r="A17" s="94" t="s">
        <v>170</v>
      </c>
      <c r="B17" s="94"/>
      <c r="C17" s="94"/>
      <c r="D17" s="94"/>
      <c r="E17" s="94"/>
      <c r="F17" s="94"/>
      <c r="G17" s="94"/>
      <c r="H17" s="94"/>
      <c r="I17" s="94"/>
    </row>
    <row r="18" spans="1:9" x14ac:dyDescent="0.25">
      <c r="E18" s="92"/>
      <c r="F18" s="91"/>
      <c r="G18" s="91"/>
      <c r="H18" s="91"/>
      <c r="I18" s="91"/>
    </row>
    <row r="19" spans="1:9" x14ac:dyDescent="0.25">
      <c r="D19" s="92"/>
      <c r="E19" s="92"/>
      <c r="F19" s="91"/>
      <c r="G19" s="91"/>
      <c r="H19" s="91"/>
      <c r="I19" s="91"/>
    </row>
  </sheetData>
  <mergeCells count="6">
    <mergeCell ref="A13:I13"/>
    <mergeCell ref="A16:I16"/>
    <mergeCell ref="A17:I17"/>
    <mergeCell ref="A1:I2"/>
    <mergeCell ref="A4:A9"/>
    <mergeCell ref="A10:G10"/>
  </mergeCells>
  <pageMargins left="0.511811024" right="0.511811024" top="0.78740157499999996" bottom="0.78740157499999996" header="0.31496062000000002" footer="0.31496062000000002"/>
  <pageSetup paperSize="9" scale="84" fitToHeight="0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B5F2-DF0B-4D94-8168-2B281A6FDE92}">
  <sheetPr>
    <pageSetUpPr fitToPage="1"/>
  </sheetPr>
  <dimension ref="A1:S99"/>
  <sheetViews>
    <sheetView topLeftCell="A22" workbookViewId="0">
      <selection activeCell="A7" sqref="A7:B7"/>
    </sheetView>
  </sheetViews>
  <sheetFormatPr defaultColWidth="8.85546875" defaultRowHeight="12" x14ac:dyDescent="0.25"/>
  <cols>
    <col min="1" max="1" width="45.140625" style="1" customWidth="1"/>
    <col min="2" max="3" width="12" style="1" customWidth="1"/>
    <col min="4" max="4" width="14" style="1" customWidth="1"/>
    <col min="5" max="5" width="13.140625" style="1" customWidth="1"/>
    <col min="6" max="6" width="15.140625" style="1" customWidth="1"/>
    <col min="7" max="7" width="15" style="1" customWidth="1"/>
    <col min="8" max="9" width="9.140625" style="1" bestFit="1" customWidth="1"/>
    <col min="10" max="12" width="8.85546875" style="1"/>
    <col min="13" max="13" width="10" style="1" bestFit="1" customWidth="1"/>
    <col min="14" max="16384" width="8.85546875" style="1"/>
  </cols>
  <sheetData>
    <row r="1" spans="1:16" ht="27.75" customHeight="1" x14ac:dyDescent="0.25">
      <c r="A1" s="107" t="s">
        <v>110</v>
      </c>
      <c r="B1" s="108"/>
      <c r="C1" s="108"/>
      <c r="D1" s="108"/>
      <c r="E1" s="109"/>
    </row>
    <row r="2" spans="1:16" ht="27.75" customHeight="1" x14ac:dyDescent="0.25">
      <c r="A2" s="107" t="s">
        <v>111</v>
      </c>
      <c r="B2" s="108"/>
      <c r="C2" s="108"/>
      <c r="D2" s="108"/>
      <c r="E2" s="109"/>
    </row>
    <row r="3" spans="1:16" x14ac:dyDescent="0.25">
      <c r="A3" s="110" t="s">
        <v>23</v>
      </c>
      <c r="B3" s="110"/>
      <c r="C3" s="110"/>
      <c r="D3" s="110"/>
      <c r="E3" s="110"/>
    </row>
    <row r="4" spans="1:16" ht="24" x14ac:dyDescent="0.25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</row>
    <row r="5" spans="1:16" ht="15" customHeight="1" x14ac:dyDescent="0.25">
      <c r="A5" s="4" t="s">
        <v>114</v>
      </c>
      <c r="B5" s="6">
        <f>1764/220*200</f>
        <v>1603.64</v>
      </c>
      <c r="C5" s="113">
        <v>1</v>
      </c>
      <c r="D5" s="114">
        <f>SUM(B5:B8)*C5</f>
        <v>2379.75</v>
      </c>
      <c r="E5" s="114">
        <f>D5*12</f>
        <v>28557</v>
      </c>
    </row>
    <row r="6" spans="1:16" x14ac:dyDescent="0.25">
      <c r="A6" s="4" t="s">
        <v>112</v>
      </c>
      <c r="B6" s="6">
        <f>122/220*200</f>
        <v>110.91</v>
      </c>
      <c r="C6" s="113"/>
      <c r="D6" s="114"/>
      <c r="E6" s="114"/>
    </row>
    <row r="7" spans="1:16" ht="24" x14ac:dyDescent="0.25">
      <c r="A7" s="4" t="s">
        <v>175</v>
      </c>
      <c r="B7" s="6">
        <v>58</v>
      </c>
      <c r="C7" s="113"/>
      <c r="D7" s="114"/>
      <c r="E7" s="114"/>
    </row>
    <row r="8" spans="1:16" x14ac:dyDescent="0.25">
      <c r="A8" s="65" t="s">
        <v>176</v>
      </c>
      <c r="B8" s="6">
        <f>1518*40%</f>
        <v>607.20000000000005</v>
      </c>
      <c r="C8" s="113"/>
      <c r="D8" s="114"/>
      <c r="E8" s="114"/>
    </row>
    <row r="9" spans="1:16" x14ac:dyDescent="0.25">
      <c r="A9" s="111"/>
      <c r="B9" s="112"/>
      <c r="C9" s="112"/>
      <c r="D9" s="112"/>
      <c r="E9" s="53"/>
    </row>
    <row r="10" spans="1:16" ht="15.75" customHeight="1" x14ac:dyDescent="0.25">
      <c r="A10" s="8" t="s">
        <v>13</v>
      </c>
      <c r="B10" s="15" t="s">
        <v>1</v>
      </c>
      <c r="C10" s="15" t="s">
        <v>12</v>
      </c>
      <c r="D10" s="15" t="s">
        <v>2</v>
      </c>
      <c r="E10" s="40"/>
    </row>
    <row r="11" spans="1:16" ht="12.75" x14ac:dyDescent="0.25">
      <c r="A11" s="4" t="s">
        <v>20</v>
      </c>
      <c r="B11" s="5">
        <v>8.3299999999999999E-2</v>
      </c>
      <c r="C11" s="6">
        <f>B11*$D$5</f>
        <v>198.23</v>
      </c>
      <c r="D11" s="6">
        <f>B11*$E$5</f>
        <v>2378.8000000000002</v>
      </c>
      <c r="E11" s="5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36" x14ac:dyDescent="0.25">
      <c r="A12" s="4" t="s">
        <v>102</v>
      </c>
      <c r="B12" s="5">
        <v>2.7799999999999998E-2</v>
      </c>
      <c r="C12" s="6">
        <f>B12*$D$5</f>
        <v>66.16</v>
      </c>
      <c r="D12" s="6">
        <f>B12*$E$5</f>
        <v>793.88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x14ac:dyDescent="0.25">
      <c r="A13" s="15" t="s">
        <v>14</v>
      </c>
      <c r="B13" s="16">
        <f>SUM(B11:B12)</f>
        <v>0.1111</v>
      </c>
      <c r="C13" s="17">
        <f>SUM(C11:C12)</f>
        <v>264.39</v>
      </c>
      <c r="D13" s="17">
        <f>C13*12</f>
        <v>3172.68</v>
      </c>
      <c r="E13" s="40"/>
      <c r="F13" s="40"/>
    </row>
    <row r="14" spans="1:16" x14ac:dyDescent="0.25">
      <c r="A14" s="52"/>
      <c r="B14" s="52"/>
      <c r="C14" s="52"/>
      <c r="D14" s="55"/>
      <c r="E14" s="53"/>
      <c r="F14" s="53"/>
    </row>
    <row r="15" spans="1:16" ht="12.75" customHeight="1" x14ac:dyDescent="0.25">
      <c r="A15" s="8" t="s">
        <v>15</v>
      </c>
      <c r="B15" s="15" t="s">
        <v>1</v>
      </c>
      <c r="C15" s="15" t="s">
        <v>12</v>
      </c>
      <c r="D15" s="15" t="s">
        <v>2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ht="12.75" x14ac:dyDescent="0.25">
      <c r="A16" s="4" t="s">
        <v>21</v>
      </c>
      <c r="B16" s="5">
        <v>0.2</v>
      </c>
      <c r="C16" s="6">
        <f t="shared" ref="C16:C23" si="0">B16*$D$5</f>
        <v>475.95</v>
      </c>
      <c r="D16" s="6">
        <f t="shared" ref="D16:D23" si="1">B16*$E$5</f>
        <v>5711.4</v>
      </c>
      <c r="E16" s="54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9" ht="12.75" customHeight="1" x14ac:dyDescent="0.25">
      <c r="A17" s="4" t="s">
        <v>57</v>
      </c>
      <c r="B17" s="5">
        <v>2.5000000000000001E-2</v>
      </c>
      <c r="C17" s="6">
        <f t="shared" si="0"/>
        <v>59.49</v>
      </c>
      <c r="D17" s="6">
        <f t="shared" si="1"/>
        <v>713.93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9" ht="12.75" x14ac:dyDescent="0.25">
      <c r="A18" s="4" t="s">
        <v>58</v>
      </c>
      <c r="B18" s="5">
        <v>0.03</v>
      </c>
      <c r="C18" s="6">
        <f t="shared" si="0"/>
        <v>71.39</v>
      </c>
      <c r="D18" s="6">
        <f t="shared" si="1"/>
        <v>856.71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9" ht="12.75" x14ac:dyDescent="0.25">
      <c r="A19" s="4" t="s">
        <v>59</v>
      </c>
      <c r="B19" s="5">
        <v>1.4999999999999999E-2</v>
      </c>
      <c r="C19" s="6">
        <f t="shared" si="0"/>
        <v>35.700000000000003</v>
      </c>
      <c r="D19" s="6">
        <f t="shared" si="1"/>
        <v>428.36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9" ht="12.75" x14ac:dyDescent="0.25">
      <c r="A20" s="4" t="s">
        <v>60</v>
      </c>
      <c r="B20" s="5">
        <v>0.01</v>
      </c>
      <c r="C20" s="6">
        <f t="shared" si="0"/>
        <v>23.8</v>
      </c>
      <c r="D20" s="6">
        <f t="shared" si="1"/>
        <v>285.57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9" ht="12.75" customHeight="1" x14ac:dyDescent="0.25">
      <c r="A21" s="4" t="s">
        <v>61</v>
      </c>
      <c r="B21" s="5">
        <v>6.0000000000000001E-3</v>
      </c>
      <c r="C21" s="6">
        <f t="shared" si="0"/>
        <v>14.28</v>
      </c>
      <c r="D21" s="6">
        <f t="shared" si="1"/>
        <v>171.34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9" ht="12.75" customHeight="1" x14ac:dyDescent="0.25">
      <c r="A22" s="4" t="s">
        <v>62</v>
      </c>
      <c r="B22" s="5">
        <v>2E-3</v>
      </c>
      <c r="C22" s="6">
        <f t="shared" si="0"/>
        <v>4.76</v>
      </c>
      <c r="D22" s="6">
        <f t="shared" si="1"/>
        <v>57.11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9" ht="12.75" customHeight="1" x14ac:dyDescent="0.25">
      <c r="A23" s="4" t="s">
        <v>63</v>
      </c>
      <c r="B23" s="5">
        <v>0.08</v>
      </c>
      <c r="C23" s="6">
        <f t="shared" si="0"/>
        <v>190.38</v>
      </c>
      <c r="D23" s="6">
        <f t="shared" si="1"/>
        <v>2284.56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9" x14ac:dyDescent="0.25">
      <c r="A24" s="15" t="s">
        <v>16</v>
      </c>
      <c r="B24" s="16">
        <f>SUM(B16:B23)</f>
        <v>0.36799999999999999</v>
      </c>
      <c r="C24" s="17">
        <f>SUM(C16:C23)</f>
        <v>875.75</v>
      </c>
      <c r="D24" s="17">
        <f>C24*12</f>
        <v>10509</v>
      </c>
      <c r="E24" s="40"/>
      <c r="F24" s="40"/>
    </row>
    <row r="25" spans="1:19" x14ac:dyDescent="0.25">
      <c r="A25" s="53"/>
      <c r="B25" s="53"/>
      <c r="C25" s="53"/>
      <c r="D25" s="53"/>
      <c r="E25" s="53"/>
      <c r="F25" s="53"/>
    </row>
    <row r="26" spans="1:19" ht="21.75" customHeight="1" x14ac:dyDescent="0.25">
      <c r="A26" s="8" t="s">
        <v>94</v>
      </c>
      <c r="B26" s="15" t="s">
        <v>22</v>
      </c>
      <c r="C26" s="15" t="s">
        <v>12</v>
      </c>
      <c r="D26" s="15" t="s">
        <v>2</v>
      </c>
      <c r="E26" s="41"/>
    </row>
    <row r="27" spans="1:19" ht="24" x14ac:dyDescent="0.25">
      <c r="A27" s="4" t="s">
        <v>93</v>
      </c>
      <c r="B27" s="60">
        <f>(3.8*24*2)-B5*0.06</f>
        <v>86.18</v>
      </c>
      <c r="C27" s="6">
        <f t="shared" ref="C27:C28" si="2">B27*(SUM($C$5:$C$5))</f>
        <v>86.18</v>
      </c>
      <c r="D27" s="6">
        <f>C27*12</f>
        <v>1034.1600000000001</v>
      </c>
      <c r="E27" s="41"/>
    </row>
    <row r="28" spans="1:19" ht="12.75" x14ac:dyDescent="0.25">
      <c r="A28" s="4" t="s">
        <v>17</v>
      </c>
      <c r="B28" s="60">
        <f>805*80%</f>
        <v>644</v>
      </c>
      <c r="C28" s="6">
        <f t="shared" si="2"/>
        <v>644</v>
      </c>
      <c r="D28" s="6">
        <f t="shared" ref="D28:D31" si="3">C28*12</f>
        <v>7728</v>
      </c>
      <c r="E28" s="4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9" ht="12.75" x14ac:dyDescent="0.25">
      <c r="A29" s="4" t="s">
        <v>18</v>
      </c>
      <c r="B29" s="60">
        <v>87.5</v>
      </c>
      <c r="C29" s="6">
        <v>87.5</v>
      </c>
      <c r="D29" s="6">
        <f t="shared" si="3"/>
        <v>1050</v>
      </c>
      <c r="E29" s="41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9" ht="12.75" x14ac:dyDescent="0.25">
      <c r="A30" s="4" t="s">
        <v>19</v>
      </c>
      <c r="B30" s="60">
        <v>28</v>
      </c>
      <c r="C30" s="6">
        <v>28</v>
      </c>
      <c r="D30" s="6">
        <f t="shared" si="3"/>
        <v>336</v>
      </c>
      <c r="E30" s="41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9" ht="12.75" x14ac:dyDescent="0.25">
      <c r="A31" s="61" t="s">
        <v>91</v>
      </c>
      <c r="B31" s="62">
        <v>28</v>
      </c>
      <c r="C31" s="63">
        <v>28</v>
      </c>
      <c r="D31" s="64">
        <f t="shared" si="3"/>
        <v>336</v>
      </c>
      <c r="E31" s="41"/>
      <c r="F31" s="40"/>
      <c r="G31" s="36"/>
      <c r="H31" s="36"/>
      <c r="I31" s="38"/>
      <c r="J31" s="36"/>
      <c r="K31" s="36"/>
      <c r="L31" s="36"/>
      <c r="M31" s="36"/>
      <c r="N31" s="36"/>
      <c r="O31" s="36"/>
      <c r="P31" s="36"/>
      <c r="Q31" s="36"/>
      <c r="R31" s="36"/>
      <c r="S31" s="36"/>
    </row>
    <row r="32" spans="1:19" ht="12.75" x14ac:dyDescent="0.25">
      <c r="A32" s="65" t="s">
        <v>88</v>
      </c>
      <c r="B32" s="66">
        <f>(805*80%)</f>
        <v>644</v>
      </c>
      <c r="C32" s="69">
        <f>B32/12</f>
        <v>53.667000000000002</v>
      </c>
      <c r="D32" s="63">
        <f>C32*12</f>
        <v>644</v>
      </c>
      <c r="E32" s="41"/>
      <c r="F32" s="40"/>
      <c r="G32" s="36"/>
      <c r="H32" s="36"/>
      <c r="I32" s="38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1:17" ht="14.25" customHeight="1" x14ac:dyDescent="0.25">
      <c r="A33" s="67" t="s">
        <v>89</v>
      </c>
      <c r="B33" s="68">
        <f>SUM(B27:B32)</f>
        <v>1517.68</v>
      </c>
      <c r="C33" s="68">
        <f>SUM(C27:C32)</f>
        <v>927.35</v>
      </c>
      <c r="D33" s="68">
        <f>C33*12</f>
        <v>11128.2</v>
      </c>
      <c r="E33" s="40"/>
      <c r="F33" s="40"/>
    </row>
    <row r="34" spans="1:17" s="12" customFormat="1" ht="25.5" customHeight="1" x14ac:dyDescent="0.25">
      <c r="A34" s="105" t="s">
        <v>4</v>
      </c>
      <c r="B34" s="106"/>
      <c r="C34" s="48">
        <f>D5+C13+C24+C33</f>
        <v>4447.24</v>
      </c>
      <c r="D34" s="48">
        <f>SUM(E5+D13+D24+D33)</f>
        <v>53366.879999999997</v>
      </c>
      <c r="E34" s="40"/>
      <c r="F34" s="40"/>
    </row>
    <row r="35" spans="1:17" x14ac:dyDescent="0.25">
      <c r="A35" s="40"/>
      <c r="B35" s="40"/>
      <c r="C35" s="40"/>
      <c r="D35" s="40"/>
      <c r="E35" s="40"/>
      <c r="F35" s="40"/>
    </row>
    <row r="36" spans="1:17" ht="12" customHeight="1" x14ac:dyDescent="0.25">
      <c r="A36" s="115" t="s">
        <v>31</v>
      </c>
      <c r="B36" s="115"/>
      <c r="C36" s="115"/>
      <c r="D36" s="115"/>
      <c r="E36" s="40"/>
      <c r="F36" s="40"/>
    </row>
    <row r="37" spans="1:17" ht="24" x14ac:dyDescent="0.25">
      <c r="A37" s="18" t="s">
        <v>30</v>
      </c>
      <c r="B37" s="19" t="s">
        <v>1</v>
      </c>
      <c r="C37" s="19" t="s">
        <v>12</v>
      </c>
      <c r="D37" s="19" t="s">
        <v>2</v>
      </c>
      <c r="E37" s="40"/>
      <c r="F37" s="40"/>
    </row>
    <row r="38" spans="1:17" ht="12.75" x14ac:dyDescent="0.25">
      <c r="A38" s="10" t="s">
        <v>24</v>
      </c>
      <c r="B38" s="13">
        <v>4.1999999999999997E-3</v>
      </c>
      <c r="C38" s="11">
        <f t="shared" ref="C38:C43" si="4">B38*$D$5</f>
        <v>9.99</v>
      </c>
      <c r="D38" s="11">
        <f t="shared" ref="D38:D43" si="5">B38*$E$5</f>
        <v>119.94</v>
      </c>
      <c r="E38" s="37"/>
    </row>
    <row r="39" spans="1:17" ht="12.75" x14ac:dyDescent="0.25">
      <c r="A39" s="10" t="s">
        <v>25</v>
      </c>
      <c r="B39" s="14">
        <v>3.3E-4</v>
      </c>
      <c r="C39" s="11">
        <f t="shared" si="4"/>
        <v>0.79</v>
      </c>
      <c r="D39" s="11">
        <f t="shared" si="5"/>
        <v>9.42</v>
      </c>
      <c r="E39" s="37"/>
    </row>
    <row r="40" spans="1:17" ht="12.75" x14ac:dyDescent="0.25">
      <c r="A40" s="10" t="s">
        <v>26</v>
      </c>
      <c r="B40" s="14">
        <v>1.6000000000000001E-4</v>
      </c>
      <c r="C40" s="11">
        <f t="shared" si="4"/>
        <v>0.38</v>
      </c>
      <c r="D40" s="11">
        <f t="shared" si="5"/>
        <v>4.57</v>
      </c>
      <c r="E40" s="37"/>
    </row>
    <row r="41" spans="1:17" ht="12.75" x14ac:dyDescent="0.25">
      <c r="A41" s="10" t="s">
        <v>27</v>
      </c>
      <c r="B41" s="13">
        <v>1.9400000000000001E-2</v>
      </c>
      <c r="C41" s="11">
        <f t="shared" si="4"/>
        <v>46.17</v>
      </c>
      <c r="D41" s="11">
        <f t="shared" si="5"/>
        <v>554.01</v>
      </c>
      <c r="E41" s="37"/>
    </row>
    <row r="42" spans="1:17" ht="24" x14ac:dyDescent="0.25">
      <c r="A42" s="10" t="s">
        <v>28</v>
      </c>
      <c r="B42" s="13">
        <f>B41*B24</f>
        <v>7.1000000000000004E-3</v>
      </c>
      <c r="C42" s="11">
        <f t="shared" si="4"/>
        <v>16.899999999999999</v>
      </c>
      <c r="D42" s="11">
        <f t="shared" si="5"/>
        <v>202.75</v>
      </c>
      <c r="E42" s="37"/>
    </row>
    <row r="43" spans="1:17" ht="12.75" x14ac:dyDescent="0.25">
      <c r="A43" s="10" t="s">
        <v>29</v>
      </c>
      <c r="B43" s="14">
        <v>7.6999999999999996E-4</v>
      </c>
      <c r="C43" s="11">
        <f t="shared" si="4"/>
        <v>1.83</v>
      </c>
      <c r="D43" s="11">
        <f t="shared" si="5"/>
        <v>21.99</v>
      </c>
      <c r="E43" s="37"/>
    </row>
    <row r="44" spans="1:17" ht="15.75" customHeight="1" x14ac:dyDescent="0.25">
      <c r="A44" s="19" t="s">
        <v>38</v>
      </c>
      <c r="B44" s="20">
        <f>SUM(B38:B43)</f>
        <v>3.2000000000000001E-2</v>
      </c>
      <c r="C44" s="21">
        <f>SUM(C38:C43)</f>
        <v>76.06</v>
      </c>
      <c r="D44" s="21">
        <f>C44*12</f>
        <v>912.72</v>
      </c>
      <c r="E44" s="40"/>
      <c r="F44" s="40"/>
    </row>
    <row r="45" spans="1:17" s="12" customFormat="1" ht="15.75" customHeight="1" x14ac:dyDescent="0.25">
      <c r="A45" s="49"/>
      <c r="B45" s="50"/>
      <c r="C45" s="50"/>
      <c r="D45" s="50"/>
      <c r="E45" s="40"/>
      <c r="F45" s="40"/>
    </row>
    <row r="46" spans="1:17" ht="14.25" customHeight="1" x14ac:dyDescent="0.25">
      <c r="A46" s="18" t="s">
        <v>32</v>
      </c>
      <c r="B46" s="19" t="s">
        <v>1</v>
      </c>
      <c r="C46" s="19" t="s">
        <v>12</v>
      </c>
      <c r="D46" s="19" t="s">
        <v>2</v>
      </c>
      <c r="E46" s="39"/>
      <c r="F46" s="39"/>
    </row>
    <row r="47" spans="1:17" ht="12.75" x14ac:dyDescent="0.25">
      <c r="A47" s="10" t="s">
        <v>33</v>
      </c>
      <c r="B47" s="13">
        <v>8.3299999999999999E-2</v>
      </c>
      <c r="C47" s="11">
        <f>B47*$D$5</f>
        <v>198.23</v>
      </c>
      <c r="D47" s="11">
        <f>B47*$E$5</f>
        <v>2378.8000000000002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 ht="12.75" customHeight="1" x14ac:dyDescent="0.25">
      <c r="A48" s="10" t="s">
        <v>34</v>
      </c>
      <c r="B48" s="13">
        <v>8.0000000000000004E-4</v>
      </c>
      <c r="C48" s="11">
        <f>B48*$D$5</f>
        <v>1.9</v>
      </c>
      <c r="D48" s="11">
        <f>B48*$E$5</f>
        <v>22.85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17" ht="24" x14ac:dyDescent="0.25">
      <c r="A49" s="10" t="s">
        <v>35</v>
      </c>
      <c r="B49" s="13">
        <v>2.9999999999999997E-4</v>
      </c>
      <c r="C49" s="11">
        <f>B49*$D$5</f>
        <v>0.71</v>
      </c>
      <c r="D49" s="11">
        <f>B49*$E$5</f>
        <v>8.57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24" x14ac:dyDescent="0.25">
      <c r="A50" s="10" t="s">
        <v>36</v>
      </c>
      <c r="B50" s="13">
        <v>1.2999999999999999E-3</v>
      </c>
      <c r="C50" s="11">
        <f>B50*$D$5</f>
        <v>3.09</v>
      </c>
      <c r="D50" s="11">
        <f>B50*$E$5</f>
        <v>37.119999999999997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</row>
    <row r="51" spans="1:17" ht="12.75" x14ac:dyDescent="0.25">
      <c r="A51" s="10" t="s">
        <v>37</v>
      </c>
      <c r="B51" s="13">
        <v>8.2000000000000007E-3</v>
      </c>
      <c r="C51" s="11">
        <f>B51*$D$5</f>
        <v>19.510000000000002</v>
      </c>
      <c r="D51" s="11">
        <f>B51*$E$5</f>
        <v>234.17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</row>
    <row r="52" spans="1:17" x14ac:dyDescent="0.25">
      <c r="A52" s="19" t="s">
        <v>39</v>
      </c>
      <c r="B52" s="20">
        <f>SUM(B47:B51)</f>
        <v>9.3899999999999997E-2</v>
      </c>
      <c r="C52" s="21">
        <f>SUM(C47:C51)</f>
        <v>223.44</v>
      </c>
      <c r="D52" s="21">
        <f>C52*12</f>
        <v>2681.28</v>
      </c>
      <c r="E52" s="39"/>
      <c r="F52" s="39"/>
    </row>
    <row r="53" spans="1:17" ht="24" customHeight="1" x14ac:dyDescent="0.25">
      <c r="A53" s="116" t="s">
        <v>40</v>
      </c>
      <c r="B53" s="117"/>
      <c r="C53" s="46">
        <f>SUM(C44+C52)</f>
        <v>299.5</v>
      </c>
      <c r="D53" s="47">
        <f>SUM(D44+D52)</f>
        <v>3594</v>
      </c>
      <c r="E53" s="39"/>
      <c r="F53" s="39"/>
    </row>
    <row r="54" spans="1:17" x14ac:dyDescent="0.25">
      <c r="A54" s="49"/>
      <c r="B54" s="50"/>
      <c r="C54" s="50"/>
      <c r="D54" s="50"/>
      <c r="E54" s="51"/>
      <c r="F54" s="51"/>
    </row>
    <row r="55" spans="1:17" ht="14.45" customHeight="1" x14ac:dyDescent="0.25">
      <c r="A55" s="118" t="s">
        <v>115</v>
      </c>
      <c r="B55" s="119"/>
      <c r="C55" s="119"/>
      <c r="D55" s="119"/>
      <c r="E55" s="119"/>
      <c r="F55" s="120"/>
      <c r="G55" s="37"/>
    </row>
    <row r="56" spans="1:17" ht="24" x14ac:dyDescent="0.25">
      <c r="A56" s="22" t="s">
        <v>116</v>
      </c>
      <c r="B56" s="23" t="s">
        <v>90</v>
      </c>
      <c r="C56" s="23" t="s">
        <v>104</v>
      </c>
      <c r="D56" s="23" t="s">
        <v>0</v>
      </c>
      <c r="E56" s="23" t="s">
        <v>12</v>
      </c>
      <c r="F56" s="23" t="s">
        <v>2</v>
      </c>
    </row>
    <row r="57" spans="1:17" x14ac:dyDescent="0.25">
      <c r="A57" s="121" t="s">
        <v>95</v>
      </c>
      <c r="B57" s="122"/>
      <c r="C57" s="122"/>
      <c r="D57" s="122"/>
      <c r="E57" s="122"/>
      <c r="F57" s="123"/>
    </row>
    <row r="58" spans="1:17" x14ac:dyDescent="0.25">
      <c r="A58" s="9" t="s">
        <v>117</v>
      </c>
      <c r="B58" s="2">
        <v>2</v>
      </c>
      <c r="C58" s="45">
        <f>B58*$C$5</f>
        <v>2</v>
      </c>
      <c r="D58" s="58">
        <v>49.1</v>
      </c>
      <c r="E58" s="3">
        <f>D58*C58/12</f>
        <v>8.18</v>
      </c>
      <c r="F58" s="3">
        <f>D58*C58</f>
        <v>98.2</v>
      </c>
      <c r="G58" s="42"/>
    </row>
    <row r="59" spans="1:17" x14ac:dyDescent="0.25">
      <c r="A59" s="9" t="s">
        <v>118</v>
      </c>
      <c r="B59" s="2">
        <v>2</v>
      </c>
      <c r="C59" s="45">
        <f t="shared" ref="C59:C65" si="6">B59*$C$5</f>
        <v>2</v>
      </c>
      <c r="D59" s="58">
        <v>19.899999999999999</v>
      </c>
      <c r="E59" s="3">
        <f>D59*C59/12</f>
        <v>3.32</v>
      </c>
      <c r="F59" s="3">
        <f t="shared" ref="F59:F65" si="7">D59*C59</f>
        <v>39.799999999999997</v>
      </c>
    </row>
    <row r="60" spans="1:17" x14ac:dyDescent="0.25">
      <c r="A60" s="9" t="s">
        <v>119</v>
      </c>
      <c r="B60" s="2">
        <v>2</v>
      </c>
      <c r="C60" s="45">
        <f t="shared" si="6"/>
        <v>2</v>
      </c>
      <c r="D60" s="58">
        <v>65.38</v>
      </c>
      <c r="E60" s="3">
        <f t="shared" ref="E60:E65" si="8">D60*C60/12</f>
        <v>10.9</v>
      </c>
      <c r="F60" s="3">
        <f t="shared" si="7"/>
        <v>130.76</v>
      </c>
    </row>
    <row r="61" spans="1:17" x14ac:dyDescent="0.25">
      <c r="A61" s="9" t="s">
        <v>120</v>
      </c>
      <c r="B61" s="2">
        <v>2</v>
      </c>
      <c r="C61" s="45">
        <f t="shared" si="6"/>
        <v>2</v>
      </c>
      <c r="D61" s="58">
        <v>27.85</v>
      </c>
      <c r="E61" s="3">
        <f t="shared" si="8"/>
        <v>4.6399999999999997</v>
      </c>
      <c r="F61" s="3">
        <f t="shared" si="7"/>
        <v>55.7</v>
      </c>
    </row>
    <row r="62" spans="1:17" x14ac:dyDescent="0.25">
      <c r="A62" s="9" t="s">
        <v>121</v>
      </c>
      <c r="B62" s="2">
        <v>24</v>
      </c>
      <c r="C62" s="45">
        <f t="shared" si="6"/>
        <v>24</v>
      </c>
      <c r="D62" s="58">
        <v>12.9</v>
      </c>
      <c r="E62" s="3">
        <f t="shared" si="8"/>
        <v>25.8</v>
      </c>
      <c r="F62" s="3">
        <f t="shared" si="7"/>
        <v>309.60000000000002</v>
      </c>
    </row>
    <row r="63" spans="1:17" x14ac:dyDescent="0.25">
      <c r="A63" s="9" t="s">
        <v>122</v>
      </c>
      <c r="B63" s="2">
        <v>2</v>
      </c>
      <c r="C63" s="45">
        <f t="shared" si="6"/>
        <v>2</v>
      </c>
      <c r="D63" s="59">
        <v>73</v>
      </c>
      <c r="E63" s="3">
        <f t="shared" si="8"/>
        <v>12.17</v>
      </c>
      <c r="F63" s="3">
        <f t="shared" si="7"/>
        <v>146</v>
      </c>
    </row>
    <row r="64" spans="1:17" x14ac:dyDescent="0.25">
      <c r="A64" s="9" t="s">
        <v>123</v>
      </c>
      <c r="B64" s="2">
        <v>1</v>
      </c>
      <c r="C64" s="45">
        <f t="shared" si="6"/>
        <v>1</v>
      </c>
      <c r="D64" s="58">
        <v>37.9</v>
      </c>
      <c r="E64" s="3">
        <f t="shared" si="8"/>
        <v>3.16</v>
      </c>
      <c r="F64" s="3">
        <f t="shared" si="7"/>
        <v>37.9</v>
      </c>
    </row>
    <row r="65" spans="1:7" x14ac:dyDescent="0.25">
      <c r="A65" s="9" t="s">
        <v>124</v>
      </c>
      <c r="B65" s="2">
        <v>2</v>
      </c>
      <c r="C65" s="45">
        <f t="shared" si="6"/>
        <v>2</v>
      </c>
      <c r="D65" s="58">
        <v>25.02</v>
      </c>
      <c r="E65" s="3">
        <f t="shared" si="8"/>
        <v>4.17</v>
      </c>
      <c r="F65" s="3">
        <f t="shared" si="7"/>
        <v>50.04</v>
      </c>
    </row>
    <row r="66" spans="1:7" x14ac:dyDescent="0.25">
      <c r="A66" s="124" t="s">
        <v>96</v>
      </c>
      <c r="B66" s="124"/>
      <c r="C66" s="57">
        <f>SUM(E58:E65)</f>
        <v>72.34</v>
      </c>
      <c r="D66" s="125" t="s">
        <v>3</v>
      </c>
      <c r="E66" s="125"/>
      <c r="F66" s="56">
        <f>C66*12</f>
        <v>868.08</v>
      </c>
    </row>
    <row r="67" spans="1:7" x14ac:dyDescent="0.25">
      <c r="A67" s="127"/>
      <c r="B67" s="127"/>
      <c r="C67" s="127"/>
      <c r="D67" s="127"/>
      <c r="E67" s="127"/>
      <c r="F67" s="127"/>
    </row>
    <row r="68" spans="1:7" ht="12.75" x14ac:dyDescent="0.25">
      <c r="A68" s="126" t="s">
        <v>97</v>
      </c>
      <c r="B68" s="126"/>
      <c r="C68" s="126"/>
      <c r="D68" s="126"/>
      <c r="E68" s="126"/>
      <c r="F68" s="126"/>
      <c r="G68" s="37"/>
    </row>
    <row r="69" spans="1:7" x14ac:dyDescent="0.25">
      <c r="A69" s="128" t="s">
        <v>41</v>
      </c>
      <c r="B69" s="128" t="s">
        <v>43</v>
      </c>
      <c r="C69" s="129" t="s">
        <v>12</v>
      </c>
      <c r="D69" s="129"/>
      <c r="E69" s="129" t="s">
        <v>2</v>
      </c>
      <c r="F69" s="129"/>
    </row>
    <row r="70" spans="1:7" ht="12" customHeight="1" x14ac:dyDescent="0.25">
      <c r="A70" s="130" t="s">
        <v>99</v>
      </c>
      <c r="B70" s="130"/>
      <c r="C70" s="131">
        <f>SUM(C34,C53)</f>
        <v>4746.74</v>
      </c>
      <c r="D70" s="131"/>
      <c r="E70" s="131">
        <f>C70*12</f>
        <v>56960.88</v>
      </c>
      <c r="F70" s="131"/>
    </row>
    <row r="71" spans="1:7" ht="12" customHeight="1" x14ac:dyDescent="0.25">
      <c r="A71" s="130"/>
      <c r="B71" s="130"/>
      <c r="C71" s="131"/>
      <c r="D71" s="131"/>
      <c r="E71" s="131"/>
      <c r="F71" s="131"/>
    </row>
    <row r="72" spans="1:7" ht="12.75" x14ac:dyDescent="0.25">
      <c r="A72" s="28" t="s">
        <v>52</v>
      </c>
      <c r="B72" s="35">
        <v>0.03</v>
      </c>
      <c r="C72" s="133">
        <f>C70*B72</f>
        <v>142.4</v>
      </c>
      <c r="D72" s="133"/>
      <c r="E72" s="133">
        <f>C72*12</f>
        <v>1708.8</v>
      </c>
      <c r="F72" s="133"/>
      <c r="G72" s="37"/>
    </row>
    <row r="73" spans="1:7" ht="12" customHeight="1" x14ac:dyDescent="0.25">
      <c r="A73" s="134" t="s">
        <v>100</v>
      </c>
      <c r="B73" s="134"/>
      <c r="C73" s="131">
        <f>C70+C72</f>
        <v>4889.1400000000003</v>
      </c>
      <c r="D73" s="131"/>
      <c r="E73" s="131">
        <f>E70+E72</f>
        <v>58669.68</v>
      </c>
      <c r="F73" s="131"/>
    </row>
    <row r="74" spans="1:7" ht="12" customHeight="1" x14ac:dyDescent="0.25">
      <c r="A74" s="134"/>
      <c r="B74" s="134"/>
      <c r="C74" s="131"/>
      <c r="D74" s="131"/>
      <c r="E74" s="131"/>
      <c r="F74" s="131"/>
    </row>
    <row r="75" spans="1:7" ht="12.75" x14ac:dyDescent="0.25">
      <c r="A75" s="28" t="s">
        <v>44</v>
      </c>
      <c r="B75" s="35">
        <v>6.7900000000000002E-2</v>
      </c>
      <c r="C75" s="133">
        <f>C73*B75</f>
        <v>331.97</v>
      </c>
      <c r="D75" s="133"/>
      <c r="E75" s="133">
        <f>C75*12</f>
        <v>3983.64</v>
      </c>
      <c r="F75" s="133"/>
      <c r="G75" s="37"/>
    </row>
    <row r="76" spans="1:7" x14ac:dyDescent="0.25">
      <c r="A76" s="135" t="s">
        <v>45</v>
      </c>
      <c r="B76" s="135"/>
      <c r="C76" s="135"/>
      <c r="D76" s="135"/>
      <c r="E76" s="29"/>
      <c r="F76" s="30"/>
    </row>
    <row r="77" spans="1:7" x14ac:dyDescent="0.25">
      <c r="A77" s="130" t="s">
        <v>46</v>
      </c>
      <c r="B77" s="130"/>
      <c r="C77" s="136">
        <f>C75+C72+C70</f>
        <v>5221.1099999999997</v>
      </c>
      <c r="D77" s="136"/>
      <c r="E77" s="136">
        <f>E75+E72+E70</f>
        <v>62653.32</v>
      </c>
      <c r="F77" s="136"/>
    </row>
    <row r="78" spans="1:7" ht="12.75" customHeight="1" x14ac:dyDescent="0.25">
      <c r="A78" s="137" t="s">
        <v>47</v>
      </c>
      <c r="B78" s="138"/>
      <c r="C78" s="138"/>
      <c r="D78" s="138"/>
      <c r="E78" s="138"/>
      <c r="F78" s="139"/>
    </row>
    <row r="79" spans="1:7" ht="12.75" x14ac:dyDescent="0.25">
      <c r="A79" s="31" t="s">
        <v>48</v>
      </c>
      <c r="B79" s="31"/>
      <c r="C79" s="132" t="s">
        <v>12</v>
      </c>
      <c r="D79" s="132"/>
      <c r="E79" s="132" t="s">
        <v>2</v>
      </c>
      <c r="F79" s="132"/>
      <c r="G79" s="37"/>
    </row>
    <row r="80" spans="1:7" ht="12.75" x14ac:dyDescent="0.25">
      <c r="A80" s="32" t="s">
        <v>49</v>
      </c>
      <c r="B80" s="35">
        <v>7.5999999999999998E-2</v>
      </c>
      <c r="C80" s="133">
        <f>($C$77)*B80/(1-($B$83))</f>
        <v>462.75</v>
      </c>
      <c r="D80" s="133"/>
      <c r="E80" s="133">
        <f>C80*12</f>
        <v>5553</v>
      </c>
      <c r="F80" s="133"/>
      <c r="G80" s="37"/>
    </row>
    <row r="81" spans="1:11" ht="12.75" x14ac:dyDescent="0.25">
      <c r="A81" s="32" t="s">
        <v>50</v>
      </c>
      <c r="B81" s="35">
        <v>1.6500000000000001E-2</v>
      </c>
      <c r="C81" s="133">
        <f t="shared" ref="C81:C82" si="9">($C$77)*B81/(1-($B$83))</f>
        <v>100.46</v>
      </c>
      <c r="D81" s="133"/>
      <c r="E81" s="133">
        <f t="shared" ref="E81:E82" si="10">C81*12</f>
        <v>1205.52</v>
      </c>
      <c r="F81" s="133"/>
      <c r="G81" s="37"/>
    </row>
    <row r="82" spans="1:11" ht="12.75" x14ac:dyDescent="0.25">
      <c r="A82" s="32" t="s">
        <v>53</v>
      </c>
      <c r="B82" s="35">
        <v>0.05</v>
      </c>
      <c r="C82" s="133">
        <f t="shared" si="9"/>
        <v>304.44</v>
      </c>
      <c r="D82" s="133"/>
      <c r="E82" s="133">
        <f t="shared" si="10"/>
        <v>3653.28</v>
      </c>
      <c r="F82" s="133"/>
      <c r="G82" s="37"/>
    </row>
    <row r="83" spans="1:11" x14ac:dyDescent="0.25">
      <c r="A83" s="33" t="s">
        <v>51</v>
      </c>
      <c r="B83" s="34">
        <f>SUM(B80:B82)</f>
        <v>0.14249999999999999</v>
      </c>
      <c r="C83" s="133">
        <f>SUM(C80:D82)</f>
        <v>867.65</v>
      </c>
      <c r="D83" s="133"/>
      <c r="E83" s="144">
        <f>SUM(E80:F82)</f>
        <v>10411.799999999999</v>
      </c>
      <c r="F83" s="145"/>
    </row>
    <row r="84" spans="1:11" x14ac:dyDescent="0.25">
      <c r="A84" s="146" t="s">
        <v>98</v>
      </c>
      <c r="B84" s="146"/>
      <c r="C84" s="140">
        <f>C72+C75+C83</f>
        <v>1342.02</v>
      </c>
      <c r="D84" s="140"/>
      <c r="E84" s="140">
        <f>C84*12</f>
        <v>16104.24</v>
      </c>
      <c r="F84" s="140"/>
    </row>
    <row r="85" spans="1:11" x14ac:dyDescent="0.25">
      <c r="A85" s="141"/>
      <c r="B85" s="142"/>
      <c r="C85" s="142"/>
      <c r="D85" s="142"/>
      <c r="E85" s="142"/>
      <c r="F85" s="143"/>
    </row>
    <row r="86" spans="1:11" ht="14.45" customHeight="1" x14ac:dyDescent="0.25">
      <c r="A86" s="148" t="s">
        <v>54</v>
      </c>
      <c r="B86" s="151" t="s">
        <v>12</v>
      </c>
      <c r="C86" s="151"/>
      <c r="D86" s="152" t="s">
        <v>3</v>
      </c>
      <c r="E86" s="153"/>
      <c r="F86" s="154"/>
    </row>
    <row r="87" spans="1:11" x14ac:dyDescent="0.25">
      <c r="A87" s="149"/>
      <c r="B87" s="25" t="s">
        <v>5</v>
      </c>
      <c r="C87" s="26">
        <f>C34</f>
        <v>4447.24</v>
      </c>
      <c r="D87" s="25" t="s">
        <v>5</v>
      </c>
      <c r="E87" s="155">
        <f>D34</f>
        <v>53366.879999999997</v>
      </c>
      <c r="F87" s="156"/>
      <c r="G87" s="42"/>
      <c r="H87" s="43"/>
    </row>
    <row r="88" spans="1:11" x14ac:dyDescent="0.25">
      <c r="A88" s="149"/>
      <c r="B88" s="25" t="s">
        <v>6</v>
      </c>
      <c r="C88" s="26">
        <f>C53</f>
        <v>299.5</v>
      </c>
      <c r="D88" s="25" t="s">
        <v>6</v>
      </c>
      <c r="E88" s="155">
        <f>D53</f>
        <v>3594</v>
      </c>
      <c r="F88" s="156"/>
      <c r="G88" s="42"/>
      <c r="H88" s="43"/>
    </row>
    <row r="89" spans="1:11" x14ac:dyDescent="0.25">
      <c r="A89" s="149"/>
      <c r="B89" s="25" t="s">
        <v>7</v>
      </c>
      <c r="C89" s="26">
        <f>C66</f>
        <v>72.34</v>
      </c>
      <c r="D89" s="25" t="s">
        <v>7</v>
      </c>
      <c r="E89" s="155">
        <f>F66</f>
        <v>868.08</v>
      </c>
      <c r="F89" s="156"/>
      <c r="G89" s="42"/>
      <c r="H89" s="43"/>
    </row>
    <row r="90" spans="1:11" x14ac:dyDescent="0.25">
      <c r="A90" s="149"/>
      <c r="B90" s="25" t="s">
        <v>8</v>
      </c>
      <c r="C90" s="26">
        <f>C84</f>
        <v>1342.02</v>
      </c>
      <c r="D90" s="25" t="s">
        <v>8</v>
      </c>
      <c r="E90" s="155">
        <f>E84</f>
        <v>16104.24</v>
      </c>
      <c r="F90" s="156"/>
      <c r="G90" s="42"/>
      <c r="H90" s="43"/>
    </row>
    <row r="91" spans="1:11" x14ac:dyDescent="0.25">
      <c r="A91" s="150"/>
      <c r="B91" s="24" t="s">
        <v>12</v>
      </c>
      <c r="C91" s="27">
        <f>SUM(C87:C90)</f>
        <v>6161.1</v>
      </c>
      <c r="D91" s="24" t="s">
        <v>42</v>
      </c>
      <c r="E91" s="157">
        <f>SUM(E87:E90)</f>
        <v>73933.2</v>
      </c>
      <c r="F91" s="158"/>
    </row>
    <row r="92" spans="1:11" ht="14.45" hidden="1" customHeight="1" x14ac:dyDescent="0.25">
      <c r="A92" s="147" t="s">
        <v>9</v>
      </c>
      <c r="B92" s="147"/>
      <c r="C92" s="147" t="s">
        <v>10</v>
      </c>
      <c r="D92" s="147"/>
      <c r="E92" s="147"/>
      <c r="F92" s="147"/>
    </row>
    <row r="93" spans="1:11" hidden="1" x14ac:dyDescent="0.25">
      <c r="A93" s="147"/>
      <c r="B93" s="147"/>
      <c r="C93" s="147"/>
      <c r="D93" s="147"/>
      <c r="E93" s="147"/>
      <c r="F93" s="147"/>
    </row>
    <row r="94" spans="1:11" ht="12" hidden="1" customHeight="1" x14ac:dyDescent="0.25">
      <c r="A94" s="147"/>
      <c r="B94" s="147"/>
      <c r="C94" s="147"/>
      <c r="D94" s="147"/>
      <c r="E94" s="147"/>
      <c r="F94" s="147"/>
    </row>
    <row r="95" spans="1:11" x14ac:dyDescent="0.25">
      <c r="K95" s="7"/>
    </row>
    <row r="97" spans="1:6" ht="18" x14ac:dyDescent="0.25">
      <c r="A97" s="102" t="s">
        <v>130</v>
      </c>
      <c r="B97" s="103"/>
      <c r="C97" s="103"/>
      <c r="D97" s="104"/>
      <c r="E97" s="102">
        <v>9</v>
      </c>
      <c r="F97" s="104"/>
    </row>
    <row r="98" spans="1:6" ht="18" x14ac:dyDescent="0.25">
      <c r="A98" s="102" t="s">
        <v>131</v>
      </c>
      <c r="B98" s="103"/>
      <c r="C98" s="103"/>
      <c r="D98" s="104"/>
      <c r="E98" s="101">
        <f>C91*E97</f>
        <v>55449.9</v>
      </c>
      <c r="F98" s="101"/>
    </row>
    <row r="99" spans="1:6" ht="18" x14ac:dyDescent="0.25">
      <c r="A99" s="102" t="s">
        <v>132</v>
      </c>
      <c r="B99" s="103"/>
      <c r="C99" s="103"/>
      <c r="D99" s="104"/>
      <c r="E99" s="101">
        <f>E98*12</f>
        <v>665398.80000000005</v>
      </c>
      <c r="F99" s="101"/>
    </row>
  </sheetData>
  <mergeCells count="64">
    <mergeCell ref="A92:B94"/>
    <mergeCell ref="C92:F94"/>
    <mergeCell ref="A86:A91"/>
    <mergeCell ref="B86:C86"/>
    <mergeCell ref="D86:F86"/>
    <mergeCell ref="E87:F87"/>
    <mergeCell ref="E88:F88"/>
    <mergeCell ref="E89:F89"/>
    <mergeCell ref="E90:F90"/>
    <mergeCell ref="E91:F91"/>
    <mergeCell ref="A78:F78"/>
    <mergeCell ref="E84:F84"/>
    <mergeCell ref="A85:F85"/>
    <mergeCell ref="C80:D80"/>
    <mergeCell ref="E80:F80"/>
    <mergeCell ref="C81:D81"/>
    <mergeCell ref="E81:F81"/>
    <mergeCell ref="C82:D82"/>
    <mergeCell ref="E82:F82"/>
    <mergeCell ref="C83:D83"/>
    <mergeCell ref="E83:F83"/>
    <mergeCell ref="A84:B84"/>
    <mergeCell ref="C84:D84"/>
    <mergeCell ref="A70:B71"/>
    <mergeCell ref="C70:D71"/>
    <mergeCell ref="E70:F71"/>
    <mergeCell ref="C79:D79"/>
    <mergeCell ref="E79:F79"/>
    <mergeCell ref="C72:D72"/>
    <mergeCell ref="E72:F72"/>
    <mergeCell ref="A73:B74"/>
    <mergeCell ref="C73:D74"/>
    <mergeCell ref="E73:F74"/>
    <mergeCell ref="C75:D75"/>
    <mergeCell ref="E75:F75"/>
    <mergeCell ref="A76:D76"/>
    <mergeCell ref="A77:B77"/>
    <mergeCell ref="C77:D77"/>
    <mergeCell ref="E77:F77"/>
    <mergeCell ref="A68:F68"/>
    <mergeCell ref="A67:F67"/>
    <mergeCell ref="A69:B69"/>
    <mergeCell ref="C69:D69"/>
    <mergeCell ref="E69:F69"/>
    <mergeCell ref="A36:D36"/>
    <mergeCell ref="A53:B53"/>
    <mergeCell ref="A55:F55"/>
    <mergeCell ref="A57:F57"/>
    <mergeCell ref="A66:B66"/>
    <mergeCell ref="D66:E66"/>
    <mergeCell ref="A34:B34"/>
    <mergeCell ref="A1:E1"/>
    <mergeCell ref="A3:E3"/>
    <mergeCell ref="A9:D9"/>
    <mergeCell ref="A2:E2"/>
    <mergeCell ref="C5:C8"/>
    <mergeCell ref="D5:D8"/>
    <mergeCell ref="E5:E8"/>
    <mergeCell ref="E98:F98"/>
    <mergeCell ref="E99:F99"/>
    <mergeCell ref="A97:D97"/>
    <mergeCell ref="A98:D98"/>
    <mergeCell ref="A99:D99"/>
    <mergeCell ref="E97:F97"/>
  </mergeCells>
  <pageMargins left="0.25" right="0.25" top="0.75" bottom="0.75" header="0.3" footer="0.3"/>
  <pageSetup paperSize="9" scale="42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B73A-70D8-49C1-9B48-7C5DAB57A5AE}">
  <dimension ref="A1:F96"/>
  <sheetViews>
    <sheetView workbookViewId="0">
      <selection activeCell="A7" sqref="A7:B7"/>
    </sheetView>
  </sheetViews>
  <sheetFormatPr defaultRowHeight="15" x14ac:dyDescent="0.25"/>
  <cols>
    <col min="1" max="1" width="45.140625" customWidth="1"/>
    <col min="2" max="3" width="12" customWidth="1"/>
    <col min="4" max="4" width="14" customWidth="1"/>
    <col min="5" max="5" width="13.140625" customWidth="1"/>
    <col min="6" max="6" width="15.140625" customWidth="1"/>
  </cols>
  <sheetData>
    <row r="1" spans="1:6" ht="27" customHeight="1" x14ac:dyDescent="0.25">
      <c r="A1" s="107" t="s">
        <v>133</v>
      </c>
      <c r="B1" s="108"/>
      <c r="C1" s="108"/>
      <c r="D1" s="108"/>
      <c r="E1" s="109"/>
      <c r="F1" s="1"/>
    </row>
    <row r="2" spans="1:6" x14ac:dyDescent="0.25">
      <c r="A2" s="107" t="s">
        <v>134</v>
      </c>
      <c r="B2" s="108"/>
      <c r="C2" s="108"/>
      <c r="D2" s="108"/>
      <c r="E2" s="109"/>
      <c r="F2" s="1"/>
    </row>
    <row r="3" spans="1:6" x14ac:dyDescent="0.25">
      <c r="A3" s="110" t="s">
        <v>23</v>
      </c>
      <c r="B3" s="110"/>
      <c r="C3" s="110"/>
      <c r="D3" s="110"/>
      <c r="E3" s="110"/>
      <c r="F3" s="1"/>
    </row>
    <row r="4" spans="1:6" ht="24" x14ac:dyDescent="0.25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25">
      <c r="A5" s="4" t="s">
        <v>135</v>
      </c>
      <c r="B5" s="6">
        <f>1764/220*100</f>
        <v>801.82</v>
      </c>
      <c r="C5" s="113">
        <v>1</v>
      </c>
      <c r="D5" s="114">
        <f>SUM(B5:B8)*C5</f>
        <v>1522.47</v>
      </c>
      <c r="E5" s="114">
        <f>D5*12</f>
        <v>18269.64</v>
      </c>
      <c r="F5" s="1"/>
    </row>
    <row r="6" spans="1:6" x14ac:dyDescent="0.25">
      <c r="A6" s="4" t="s">
        <v>112</v>
      </c>
      <c r="B6" s="6">
        <f>122/220*100</f>
        <v>55.45</v>
      </c>
      <c r="C6" s="113"/>
      <c r="D6" s="114"/>
      <c r="E6" s="114"/>
      <c r="F6" s="1"/>
    </row>
    <row r="7" spans="1:6" ht="24" x14ac:dyDescent="0.25">
      <c r="A7" s="4" t="s">
        <v>175</v>
      </c>
      <c r="B7" s="6">
        <v>58</v>
      </c>
      <c r="C7" s="113"/>
      <c r="D7" s="114"/>
      <c r="E7" s="114"/>
      <c r="F7" s="1"/>
    </row>
    <row r="8" spans="1:6" x14ac:dyDescent="0.25">
      <c r="A8" s="65" t="s">
        <v>176</v>
      </c>
      <c r="B8" s="6">
        <f>1518*40%</f>
        <v>607.20000000000005</v>
      </c>
      <c r="C8" s="113"/>
      <c r="D8" s="114"/>
      <c r="E8" s="114"/>
      <c r="F8" s="1"/>
    </row>
    <row r="9" spans="1:6" x14ac:dyDescent="0.25">
      <c r="A9" s="111"/>
      <c r="B9" s="112"/>
      <c r="C9" s="112"/>
      <c r="D9" s="112"/>
      <c r="E9" s="53"/>
      <c r="F9" s="1"/>
    </row>
    <row r="10" spans="1:6" ht="24" x14ac:dyDescent="0.25">
      <c r="A10" s="8" t="s">
        <v>13</v>
      </c>
      <c r="B10" s="15" t="s">
        <v>1</v>
      </c>
      <c r="C10" s="15" t="s">
        <v>12</v>
      </c>
      <c r="D10" s="15" t="s">
        <v>2</v>
      </c>
      <c r="E10" s="40"/>
      <c r="F10" s="1"/>
    </row>
    <row r="11" spans="1:6" x14ac:dyDescent="0.25">
      <c r="A11" s="4" t="s">
        <v>20</v>
      </c>
      <c r="B11" s="5">
        <v>8.3299999999999999E-2</v>
      </c>
      <c r="C11" s="6">
        <f>B11*$D$5</f>
        <v>126.82</v>
      </c>
      <c r="D11" s="6">
        <f>B11*$E$5</f>
        <v>1521.86</v>
      </c>
      <c r="E11" s="54"/>
      <c r="F11" s="37"/>
    </row>
    <row r="12" spans="1:6" ht="36" x14ac:dyDescent="0.25">
      <c r="A12" s="4" t="s">
        <v>102</v>
      </c>
      <c r="B12" s="5">
        <v>2.7799999999999998E-2</v>
      </c>
      <c r="C12" s="6">
        <f>B12*$D$5</f>
        <v>42.32</v>
      </c>
      <c r="D12" s="6">
        <f>B12*$E$5</f>
        <v>507.9</v>
      </c>
      <c r="E12" s="37"/>
      <c r="F12" s="37"/>
    </row>
    <row r="13" spans="1:6" x14ac:dyDescent="0.25">
      <c r="A13" s="15" t="s">
        <v>14</v>
      </c>
      <c r="B13" s="16">
        <f>SUM(B11:B12)</f>
        <v>0.1111</v>
      </c>
      <c r="C13" s="17">
        <f>SUM(C11:C12)</f>
        <v>169.14</v>
      </c>
      <c r="D13" s="17">
        <f>C13*12</f>
        <v>2029.68</v>
      </c>
      <c r="E13" s="40"/>
      <c r="F13" s="40"/>
    </row>
    <row r="14" spans="1:6" x14ac:dyDescent="0.25">
      <c r="A14" s="52"/>
      <c r="B14" s="52"/>
      <c r="C14" s="52"/>
      <c r="D14" s="55"/>
      <c r="E14" s="53"/>
      <c r="F14" s="53"/>
    </row>
    <row r="15" spans="1:6" ht="24" x14ac:dyDescent="0.25">
      <c r="A15" s="8" t="s">
        <v>15</v>
      </c>
      <c r="B15" s="15" t="s">
        <v>1</v>
      </c>
      <c r="C15" s="15" t="s">
        <v>12</v>
      </c>
      <c r="D15" s="15" t="s">
        <v>2</v>
      </c>
      <c r="E15" s="37"/>
      <c r="F15" s="37"/>
    </row>
    <row r="16" spans="1:6" x14ac:dyDescent="0.25">
      <c r="A16" s="4" t="s">
        <v>21</v>
      </c>
      <c r="B16" s="5">
        <v>0.2</v>
      </c>
      <c r="C16" s="6">
        <f t="shared" ref="C16:C23" si="0">B16*$D$5</f>
        <v>304.49</v>
      </c>
      <c r="D16" s="6">
        <f t="shared" ref="D16:D23" si="1">B16*$E$5</f>
        <v>3653.93</v>
      </c>
      <c r="E16" s="54"/>
      <c r="F16" s="37"/>
    </row>
    <row r="17" spans="1:6" x14ac:dyDescent="0.25">
      <c r="A17" s="4" t="s">
        <v>57</v>
      </c>
      <c r="B17" s="5">
        <v>2.5000000000000001E-2</v>
      </c>
      <c r="C17" s="6">
        <f t="shared" si="0"/>
        <v>38.06</v>
      </c>
      <c r="D17" s="6">
        <f t="shared" si="1"/>
        <v>456.74</v>
      </c>
      <c r="E17" s="37"/>
      <c r="F17" s="37"/>
    </row>
    <row r="18" spans="1:6" x14ac:dyDescent="0.25">
      <c r="A18" s="4" t="s">
        <v>58</v>
      </c>
      <c r="B18" s="5">
        <v>0.03</v>
      </c>
      <c r="C18" s="6">
        <f t="shared" si="0"/>
        <v>45.67</v>
      </c>
      <c r="D18" s="6">
        <f t="shared" si="1"/>
        <v>548.09</v>
      </c>
      <c r="E18" s="37"/>
      <c r="F18" s="37"/>
    </row>
    <row r="19" spans="1:6" x14ac:dyDescent="0.25">
      <c r="A19" s="4" t="s">
        <v>59</v>
      </c>
      <c r="B19" s="5">
        <v>1.4999999999999999E-2</v>
      </c>
      <c r="C19" s="6">
        <f t="shared" si="0"/>
        <v>22.84</v>
      </c>
      <c r="D19" s="6">
        <f t="shared" si="1"/>
        <v>274.04000000000002</v>
      </c>
      <c r="E19" s="37"/>
      <c r="F19" s="37"/>
    </row>
    <row r="20" spans="1:6" x14ac:dyDescent="0.25">
      <c r="A20" s="4" t="s">
        <v>60</v>
      </c>
      <c r="B20" s="5">
        <v>0.01</v>
      </c>
      <c r="C20" s="6">
        <f t="shared" si="0"/>
        <v>15.22</v>
      </c>
      <c r="D20" s="6">
        <f t="shared" si="1"/>
        <v>182.7</v>
      </c>
      <c r="E20" s="37"/>
      <c r="F20" s="37"/>
    </row>
    <row r="21" spans="1:6" x14ac:dyDescent="0.25">
      <c r="A21" s="4" t="s">
        <v>61</v>
      </c>
      <c r="B21" s="5">
        <v>6.0000000000000001E-3</v>
      </c>
      <c r="C21" s="6">
        <f t="shared" si="0"/>
        <v>9.1300000000000008</v>
      </c>
      <c r="D21" s="6">
        <f t="shared" si="1"/>
        <v>109.62</v>
      </c>
      <c r="E21" s="37"/>
      <c r="F21" s="37"/>
    </row>
    <row r="22" spans="1:6" x14ac:dyDescent="0.25">
      <c r="A22" s="4" t="s">
        <v>62</v>
      </c>
      <c r="B22" s="5">
        <v>2E-3</v>
      </c>
      <c r="C22" s="6">
        <f t="shared" si="0"/>
        <v>3.04</v>
      </c>
      <c r="D22" s="6">
        <f t="shared" si="1"/>
        <v>36.54</v>
      </c>
      <c r="E22" s="37"/>
      <c r="F22" s="37"/>
    </row>
    <row r="23" spans="1:6" x14ac:dyDescent="0.25">
      <c r="A23" s="4" t="s">
        <v>63</v>
      </c>
      <c r="B23" s="5">
        <v>0.08</v>
      </c>
      <c r="C23" s="6">
        <f t="shared" si="0"/>
        <v>121.8</v>
      </c>
      <c r="D23" s="6">
        <f t="shared" si="1"/>
        <v>1461.57</v>
      </c>
      <c r="E23" s="37"/>
      <c r="F23" s="37"/>
    </row>
    <row r="24" spans="1:6" x14ac:dyDescent="0.25">
      <c r="A24" s="15" t="s">
        <v>16</v>
      </c>
      <c r="B24" s="16">
        <f>SUM(B16:B23)</f>
        <v>0.36799999999999999</v>
      </c>
      <c r="C24" s="17">
        <f>SUM(C16:C23)</f>
        <v>560.25</v>
      </c>
      <c r="D24" s="17">
        <f>C24*12</f>
        <v>6723</v>
      </c>
      <c r="E24" s="40"/>
      <c r="F24" s="40"/>
    </row>
    <row r="25" spans="1:6" x14ac:dyDescent="0.25">
      <c r="A25" s="53"/>
      <c r="B25" s="53"/>
      <c r="C25" s="53"/>
      <c r="D25" s="53"/>
      <c r="E25" s="53"/>
      <c r="F25" s="53"/>
    </row>
    <row r="26" spans="1:6" ht="24" x14ac:dyDescent="0.25">
      <c r="A26" s="8" t="s">
        <v>94</v>
      </c>
      <c r="B26" s="15" t="s">
        <v>22</v>
      </c>
      <c r="C26" s="15" t="s">
        <v>12</v>
      </c>
      <c r="D26" s="15" t="s">
        <v>2</v>
      </c>
      <c r="E26" s="41"/>
      <c r="F26" s="1"/>
    </row>
    <row r="27" spans="1:6" ht="24" x14ac:dyDescent="0.25">
      <c r="A27" s="4" t="s">
        <v>93</v>
      </c>
      <c r="B27" s="60">
        <f>(3.8*24*2)-B5*0.06</f>
        <v>134.29</v>
      </c>
      <c r="C27" s="6">
        <f>B27*(SUM($C$5:$C$5))</f>
        <v>134.29</v>
      </c>
      <c r="D27" s="6">
        <f>C27*12</f>
        <v>1611.48</v>
      </c>
      <c r="E27" s="41"/>
      <c r="F27" s="1"/>
    </row>
    <row r="28" spans="1:6" x14ac:dyDescent="0.25">
      <c r="A28" s="4" t="s">
        <v>17</v>
      </c>
      <c r="B28" s="60">
        <f>805*80%</f>
        <v>644</v>
      </c>
      <c r="C28" s="6">
        <f t="shared" ref="C28" si="2">B28*(SUM($C$5:$C$5))</f>
        <v>644</v>
      </c>
      <c r="D28" s="6">
        <f t="shared" ref="D28:D31" si="3">C28*12</f>
        <v>7728</v>
      </c>
      <c r="E28" s="41"/>
      <c r="F28" s="37"/>
    </row>
    <row r="29" spans="1:6" x14ac:dyDescent="0.25">
      <c r="A29" s="4" t="s">
        <v>18</v>
      </c>
      <c r="B29" s="60">
        <v>87.5</v>
      </c>
      <c r="C29" s="6">
        <v>87.5</v>
      </c>
      <c r="D29" s="6">
        <f t="shared" si="3"/>
        <v>1050</v>
      </c>
      <c r="E29" s="41"/>
      <c r="F29" s="37"/>
    </row>
    <row r="30" spans="1:6" x14ac:dyDescent="0.25">
      <c r="A30" s="4" t="s">
        <v>19</v>
      </c>
      <c r="B30" s="60">
        <v>28</v>
      </c>
      <c r="C30" s="6">
        <v>28</v>
      </c>
      <c r="D30" s="6">
        <f t="shared" si="3"/>
        <v>336</v>
      </c>
      <c r="E30" s="41"/>
      <c r="F30" s="37"/>
    </row>
    <row r="31" spans="1:6" x14ac:dyDescent="0.25">
      <c r="A31" s="61" t="s">
        <v>91</v>
      </c>
      <c r="B31" s="62">
        <v>28</v>
      </c>
      <c r="C31" s="63">
        <v>28</v>
      </c>
      <c r="D31" s="64">
        <f t="shared" si="3"/>
        <v>336</v>
      </c>
      <c r="E31" s="41"/>
      <c r="F31" s="40"/>
    </row>
    <row r="32" spans="1:6" x14ac:dyDescent="0.25">
      <c r="A32" s="65" t="s">
        <v>88</v>
      </c>
      <c r="B32" s="66">
        <f>(805*80%)</f>
        <v>644</v>
      </c>
      <c r="C32" s="69">
        <f>B32/12</f>
        <v>53.667000000000002</v>
      </c>
      <c r="D32" s="63">
        <f>C32*12</f>
        <v>644</v>
      </c>
      <c r="E32" s="41"/>
      <c r="F32" s="40"/>
    </row>
    <row r="33" spans="1:6" x14ac:dyDescent="0.25">
      <c r="A33" s="67" t="s">
        <v>89</v>
      </c>
      <c r="B33" s="68">
        <f>SUM(B27:B32)</f>
        <v>1565.79</v>
      </c>
      <c r="C33" s="68">
        <f>SUM(C27:C32)</f>
        <v>975.46</v>
      </c>
      <c r="D33" s="68">
        <f>C33*12</f>
        <v>11705.52</v>
      </c>
      <c r="E33" s="40"/>
      <c r="F33" s="40"/>
    </row>
    <row r="34" spans="1:6" ht="26.25" customHeight="1" x14ac:dyDescent="0.25">
      <c r="A34" s="105" t="s">
        <v>4</v>
      </c>
      <c r="B34" s="106"/>
      <c r="C34" s="48">
        <f>D5+C13+C24+C33</f>
        <v>3227.32</v>
      </c>
      <c r="D34" s="48">
        <f>SUM(E5+D13+D24+D33)</f>
        <v>38727.839999999997</v>
      </c>
      <c r="E34" s="40"/>
      <c r="F34" s="40"/>
    </row>
    <row r="35" spans="1:6" x14ac:dyDescent="0.25">
      <c r="A35" s="40"/>
      <c r="B35" s="40"/>
      <c r="C35" s="40"/>
      <c r="D35" s="40"/>
      <c r="E35" s="40"/>
      <c r="F35" s="40"/>
    </row>
    <row r="36" spans="1:6" x14ac:dyDescent="0.25">
      <c r="A36" s="115" t="s">
        <v>31</v>
      </c>
      <c r="B36" s="115"/>
      <c r="C36" s="115"/>
      <c r="D36" s="115"/>
      <c r="E36" s="40"/>
      <c r="F36" s="40"/>
    </row>
    <row r="37" spans="1:6" ht="24" x14ac:dyDescent="0.25">
      <c r="A37" s="18" t="s">
        <v>30</v>
      </c>
      <c r="B37" s="19" t="s">
        <v>1</v>
      </c>
      <c r="C37" s="19" t="s">
        <v>12</v>
      </c>
      <c r="D37" s="19" t="s">
        <v>2</v>
      </c>
      <c r="E37" s="40"/>
      <c r="F37" s="40"/>
    </row>
    <row r="38" spans="1:6" x14ac:dyDescent="0.25">
      <c r="A38" s="10" t="s">
        <v>24</v>
      </c>
      <c r="B38" s="13">
        <v>4.1999999999999997E-3</v>
      </c>
      <c r="C38" s="11">
        <f t="shared" ref="C38:C43" si="4">B38*$D$5</f>
        <v>6.39</v>
      </c>
      <c r="D38" s="11">
        <f t="shared" ref="D38:D43" si="5">B38*$E$5</f>
        <v>76.73</v>
      </c>
      <c r="E38" s="37"/>
      <c r="F38" s="1"/>
    </row>
    <row r="39" spans="1:6" x14ac:dyDescent="0.25">
      <c r="A39" s="10" t="s">
        <v>25</v>
      </c>
      <c r="B39" s="14">
        <v>3.3E-4</v>
      </c>
      <c r="C39" s="11">
        <f t="shared" si="4"/>
        <v>0.5</v>
      </c>
      <c r="D39" s="11">
        <f t="shared" si="5"/>
        <v>6.03</v>
      </c>
      <c r="E39" s="37"/>
      <c r="F39" s="1"/>
    </row>
    <row r="40" spans="1:6" x14ac:dyDescent="0.25">
      <c r="A40" s="10" t="s">
        <v>26</v>
      </c>
      <c r="B40" s="14">
        <v>1.6000000000000001E-4</v>
      </c>
      <c r="C40" s="11">
        <f t="shared" si="4"/>
        <v>0.24</v>
      </c>
      <c r="D40" s="11">
        <f t="shared" si="5"/>
        <v>2.92</v>
      </c>
      <c r="E40" s="37"/>
      <c r="F40" s="1"/>
    </row>
    <row r="41" spans="1:6" x14ac:dyDescent="0.25">
      <c r="A41" s="10" t="s">
        <v>27</v>
      </c>
      <c r="B41" s="13">
        <v>1.9400000000000001E-2</v>
      </c>
      <c r="C41" s="11">
        <f t="shared" si="4"/>
        <v>29.54</v>
      </c>
      <c r="D41" s="11">
        <f t="shared" si="5"/>
        <v>354.43</v>
      </c>
      <c r="E41" s="37"/>
      <c r="F41" s="1"/>
    </row>
    <row r="42" spans="1:6" ht="24" x14ac:dyDescent="0.25">
      <c r="A42" s="10" t="s">
        <v>28</v>
      </c>
      <c r="B42" s="13">
        <f>B41*B24</f>
        <v>7.1000000000000004E-3</v>
      </c>
      <c r="C42" s="11">
        <f t="shared" si="4"/>
        <v>10.81</v>
      </c>
      <c r="D42" s="11">
        <f t="shared" si="5"/>
        <v>129.71</v>
      </c>
      <c r="E42" s="37"/>
      <c r="F42" s="1"/>
    </row>
    <row r="43" spans="1:6" x14ac:dyDescent="0.25">
      <c r="A43" s="10" t="s">
        <v>29</v>
      </c>
      <c r="B43" s="14">
        <v>7.6999999999999996E-4</v>
      </c>
      <c r="C43" s="11">
        <f t="shared" si="4"/>
        <v>1.17</v>
      </c>
      <c r="D43" s="11">
        <f t="shared" si="5"/>
        <v>14.07</v>
      </c>
      <c r="E43" s="37"/>
      <c r="F43" s="1"/>
    </row>
    <row r="44" spans="1:6" x14ac:dyDescent="0.25">
      <c r="A44" s="19" t="s">
        <v>38</v>
      </c>
      <c r="B44" s="20">
        <f>SUM(B38:B43)</f>
        <v>3.2000000000000001E-2</v>
      </c>
      <c r="C44" s="21">
        <f>SUM(C38:C43)</f>
        <v>48.65</v>
      </c>
      <c r="D44" s="21">
        <f>C44*12</f>
        <v>583.79999999999995</v>
      </c>
      <c r="E44" s="40"/>
      <c r="F44" s="40"/>
    </row>
    <row r="45" spans="1:6" x14ac:dyDescent="0.25">
      <c r="A45" s="49"/>
      <c r="B45" s="50"/>
      <c r="C45" s="50"/>
      <c r="D45" s="50"/>
      <c r="E45" s="40"/>
      <c r="F45" s="40"/>
    </row>
    <row r="46" spans="1:6" ht="24" x14ac:dyDescent="0.25">
      <c r="A46" s="18" t="s">
        <v>32</v>
      </c>
      <c r="B46" s="19" t="s">
        <v>1</v>
      </c>
      <c r="C46" s="19" t="s">
        <v>12</v>
      </c>
      <c r="D46" s="19" t="s">
        <v>2</v>
      </c>
      <c r="E46" s="39"/>
      <c r="F46" s="39"/>
    </row>
    <row r="47" spans="1:6" x14ac:dyDescent="0.25">
      <c r="A47" s="10" t="s">
        <v>33</v>
      </c>
      <c r="B47" s="13">
        <v>8.3299999999999999E-2</v>
      </c>
      <c r="C47" s="11">
        <f>B47*$D$5</f>
        <v>126.82</v>
      </c>
      <c r="D47" s="11">
        <f>B47*$E$5</f>
        <v>1521.86</v>
      </c>
      <c r="E47" s="37"/>
      <c r="F47" s="37"/>
    </row>
    <row r="48" spans="1:6" x14ac:dyDescent="0.25">
      <c r="A48" s="10" t="s">
        <v>34</v>
      </c>
      <c r="B48" s="13">
        <v>8.0000000000000004E-4</v>
      </c>
      <c r="C48" s="11">
        <f>B48*$D$5</f>
        <v>1.22</v>
      </c>
      <c r="D48" s="11">
        <f>B48*$E$5</f>
        <v>14.62</v>
      </c>
      <c r="E48" s="37"/>
      <c r="F48" s="37"/>
    </row>
    <row r="49" spans="1:6" ht="24" x14ac:dyDescent="0.25">
      <c r="A49" s="10" t="s">
        <v>35</v>
      </c>
      <c r="B49" s="13">
        <v>2.9999999999999997E-4</v>
      </c>
      <c r="C49" s="11">
        <f>B49*$D$5</f>
        <v>0.46</v>
      </c>
      <c r="D49" s="11">
        <f>B49*$E$5</f>
        <v>5.48</v>
      </c>
      <c r="E49" s="37"/>
      <c r="F49" s="37"/>
    </row>
    <row r="50" spans="1:6" ht="24" x14ac:dyDescent="0.25">
      <c r="A50" s="10" t="s">
        <v>36</v>
      </c>
      <c r="B50" s="13">
        <v>1.2999999999999999E-3</v>
      </c>
      <c r="C50" s="11">
        <f>B50*$D$5</f>
        <v>1.98</v>
      </c>
      <c r="D50" s="11">
        <f>B50*$E$5</f>
        <v>23.75</v>
      </c>
      <c r="E50" s="37"/>
      <c r="F50" s="37"/>
    </row>
    <row r="51" spans="1:6" x14ac:dyDescent="0.25">
      <c r="A51" s="10" t="s">
        <v>37</v>
      </c>
      <c r="B51" s="13">
        <v>8.2000000000000007E-3</v>
      </c>
      <c r="C51" s="11">
        <f>B51*$D$5</f>
        <v>12.48</v>
      </c>
      <c r="D51" s="11">
        <f>B51*$E$5</f>
        <v>149.81</v>
      </c>
      <c r="E51" s="37"/>
      <c r="F51" s="37"/>
    </row>
    <row r="52" spans="1:6" x14ac:dyDescent="0.25">
      <c r="A52" s="19" t="s">
        <v>39</v>
      </c>
      <c r="B52" s="20">
        <f>SUM(B47:B51)</f>
        <v>9.3899999999999997E-2</v>
      </c>
      <c r="C52" s="21">
        <f>SUM(C47:C51)</f>
        <v>142.96</v>
      </c>
      <c r="D52" s="21">
        <f>C52*12</f>
        <v>1715.52</v>
      </c>
      <c r="E52" s="39"/>
      <c r="F52" s="39"/>
    </row>
    <row r="53" spans="1:6" ht="25.5" customHeight="1" x14ac:dyDescent="0.25">
      <c r="A53" s="116" t="s">
        <v>40</v>
      </c>
      <c r="B53" s="117"/>
      <c r="C53" s="46">
        <f>SUM(C44+C52)</f>
        <v>191.61</v>
      </c>
      <c r="D53" s="47">
        <f>SUM(D44+D52)</f>
        <v>2299.3200000000002</v>
      </c>
      <c r="E53" s="39"/>
      <c r="F53" s="39"/>
    </row>
    <row r="54" spans="1:6" x14ac:dyDescent="0.25">
      <c r="A54" s="49"/>
      <c r="B54" s="50"/>
      <c r="C54" s="50"/>
      <c r="D54" s="50"/>
      <c r="E54" s="51"/>
      <c r="F54" s="51"/>
    </row>
    <row r="55" spans="1:6" x14ac:dyDescent="0.25">
      <c r="A55" s="118" t="s">
        <v>115</v>
      </c>
      <c r="B55" s="119"/>
      <c r="C55" s="119"/>
      <c r="D55" s="119"/>
      <c r="E55" s="119"/>
      <c r="F55" s="120"/>
    </row>
    <row r="56" spans="1:6" ht="24" x14ac:dyDescent="0.25">
      <c r="A56" s="22" t="s">
        <v>116</v>
      </c>
      <c r="B56" s="23" t="s">
        <v>90</v>
      </c>
      <c r="C56" s="23" t="s">
        <v>104</v>
      </c>
      <c r="D56" s="23" t="s">
        <v>0</v>
      </c>
      <c r="E56" s="23" t="s">
        <v>12</v>
      </c>
      <c r="F56" s="23" t="s">
        <v>2</v>
      </c>
    </row>
    <row r="57" spans="1:6" x14ac:dyDescent="0.25">
      <c r="A57" s="121" t="s">
        <v>95</v>
      </c>
      <c r="B57" s="122"/>
      <c r="C57" s="122"/>
      <c r="D57" s="122"/>
      <c r="E57" s="122"/>
      <c r="F57" s="123"/>
    </row>
    <row r="58" spans="1:6" x14ac:dyDescent="0.25">
      <c r="A58" s="9" t="s">
        <v>117</v>
      </c>
      <c r="B58" s="2">
        <v>2</v>
      </c>
      <c r="C58" s="45">
        <f>B58*$C$5</f>
        <v>2</v>
      </c>
      <c r="D58" s="58">
        <v>49.1</v>
      </c>
      <c r="E58" s="3">
        <f>D58*C58/12</f>
        <v>8.18</v>
      </c>
      <c r="F58" s="3">
        <f>D58*C58</f>
        <v>98.2</v>
      </c>
    </row>
    <row r="59" spans="1:6" x14ac:dyDescent="0.25">
      <c r="A59" s="9" t="s">
        <v>118</v>
      </c>
      <c r="B59" s="2">
        <v>2</v>
      </c>
      <c r="C59" s="45">
        <f t="shared" ref="C59:C65" si="6">B59*$C$5</f>
        <v>2</v>
      </c>
      <c r="D59" s="58">
        <v>19.899999999999999</v>
      </c>
      <c r="E59" s="3">
        <f>D59*C59/12</f>
        <v>3.32</v>
      </c>
      <c r="F59" s="3">
        <f t="shared" ref="F59:F65" si="7">D59*C59</f>
        <v>39.799999999999997</v>
      </c>
    </row>
    <row r="60" spans="1:6" x14ac:dyDescent="0.25">
      <c r="A60" s="9" t="s">
        <v>119</v>
      </c>
      <c r="B60" s="2">
        <v>2</v>
      </c>
      <c r="C60" s="45">
        <f t="shared" si="6"/>
        <v>2</v>
      </c>
      <c r="D60" s="58">
        <v>65.38</v>
      </c>
      <c r="E60" s="3">
        <f t="shared" ref="E60:E65" si="8">D60*C60/12</f>
        <v>10.9</v>
      </c>
      <c r="F60" s="3">
        <f t="shared" si="7"/>
        <v>130.76</v>
      </c>
    </row>
    <row r="61" spans="1:6" x14ac:dyDescent="0.25">
      <c r="A61" s="9" t="s">
        <v>120</v>
      </c>
      <c r="B61" s="2">
        <v>2</v>
      </c>
      <c r="C61" s="45">
        <f t="shared" si="6"/>
        <v>2</v>
      </c>
      <c r="D61" s="58">
        <v>27.85</v>
      </c>
      <c r="E61" s="3">
        <f t="shared" si="8"/>
        <v>4.6399999999999997</v>
      </c>
      <c r="F61" s="3">
        <f t="shared" si="7"/>
        <v>55.7</v>
      </c>
    </row>
    <row r="62" spans="1:6" x14ac:dyDescent="0.25">
      <c r="A62" s="9" t="s">
        <v>121</v>
      </c>
      <c r="B62" s="2">
        <v>24</v>
      </c>
      <c r="C62" s="45">
        <f t="shared" si="6"/>
        <v>24</v>
      </c>
      <c r="D62" s="58">
        <v>12.9</v>
      </c>
      <c r="E62" s="3">
        <f t="shared" si="8"/>
        <v>25.8</v>
      </c>
      <c r="F62" s="3">
        <f t="shared" si="7"/>
        <v>309.60000000000002</v>
      </c>
    </row>
    <row r="63" spans="1:6" x14ac:dyDescent="0.25">
      <c r="A63" s="9" t="s">
        <v>122</v>
      </c>
      <c r="B63" s="2">
        <v>2</v>
      </c>
      <c r="C63" s="45">
        <f t="shared" si="6"/>
        <v>2</v>
      </c>
      <c r="D63" s="59">
        <v>73</v>
      </c>
      <c r="E63" s="3">
        <f t="shared" si="8"/>
        <v>12.17</v>
      </c>
      <c r="F63" s="3">
        <f t="shared" si="7"/>
        <v>146</v>
      </c>
    </row>
    <row r="64" spans="1:6" x14ac:dyDescent="0.25">
      <c r="A64" s="9" t="s">
        <v>123</v>
      </c>
      <c r="B64" s="2">
        <v>1</v>
      </c>
      <c r="C64" s="45">
        <f t="shared" si="6"/>
        <v>1</v>
      </c>
      <c r="D64" s="58">
        <v>37.9</v>
      </c>
      <c r="E64" s="3">
        <f t="shared" si="8"/>
        <v>3.16</v>
      </c>
      <c r="F64" s="3">
        <f t="shared" si="7"/>
        <v>37.9</v>
      </c>
    </row>
    <row r="65" spans="1:6" x14ac:dyDescent="0.25">
      <c r="A65" s="9" t="s">
        <v>124</v>
      </c>
      <c r="B65" s="2">
        <v>2</v>
      </c>
      <c r="C65" s="45">
        <f t="shared" si="6"/>
        <v>2</v>
      </c>
      <c r="D65" s="58">
        <v>25.02</v>
      </c>
      <c r="E65" s="3">
        <f t="shared" si="8"/>
        <v>4.17</v>
      </c>
      <c r="F65" s="3">
        <f t="shared" si="7"/>
        <v>50.04</v>
      </c>
    </row>
    <row r="66" spans="1:6" x14ac:dyDescent="0.25">
      <c r="A66" s="124" t="s">
        <v>96</v>
      </c>
      <c r="B66" s="124"/>
      <c r="C66" s="57">
        <f>SUM(E58:E65)</f>
        <v>72.34</v>
      </c>
      <c r="D66" s="125" t="s">
        <v>3</v>
      </c>
      <c r="E66" s="125"/>
      <c r="F66" s="56">
        <f>C66*12</f>
        <v>868.08</v>
      </c>
    </row>
    <row r="67" spans="1:6" x14ac:dyDescent="0.25">
      <c r="A67" s="127"/>
      <c r="B67" s="127"/>
      <c r="C67" s="127"/>
      <c r="D67" s="127"/>
      <c r="E67" s="127"/>
      <c r="F67" s="127"/>
    </row>
    <row r="68" spans="1:6" x14ac:dyDescent="0.25">
      <c r="A68" s="126" t="s">
        <v>97</v>
      </c>
      <c r="B68" s="126"/>
      <c r="C68" s="126"/>
      <c r="D68" s="126"/>
      <c r="E68" s="126"/>
      <c r="F68" s="126"/>
    </row>
    <row r="69" spans="1:6" x14ac:dyDescent="0.25">
      <c r="A69" s="128" t="s">
        <v>41</v>
      </c>
      <c r="B69" s="128" t="s">
        <v>43</v>
      </c>
      <c r="C69" s="129" t="s">
        <v>12</v>
      </c>
      <c r="D69" s="129"/>
      <c r="E69" s="129" t="s">
        <v>2</v>
      </c>
      <c r="F69" s="129"/>
    </row>
    <row r="70" spans="1:6" x14ac:dyDescent="0.25">
      <c r="A70" s="130" t="s">
        <v>99</v>
      </c>
      <c r="B70" s="130"/>
      <c r="C70" s="131">
        <f>SUM(C34,C53)</f>
        <v>3418.93</v>
      </c>
      <c r="D70" s="131"/>
      <c r="E70" s="131">
        <f>C70*12</f>
        <v>41027.160000000003</v>
      </c>
      <c r="F70" s="131"/>
    </row>
    <row r="71" spans="1:6" x14ac:dyDescent="0.25">
      <c r="A71" s="130"/>
      <c r="B71" s="130"/>
      <c r="C71" s="131"/>
      <c r="D71" s="131"/>
      <c r="E71" s="131"/>
      <c r="F71" s="131"/>
    </row>
    <row r="72" spans="1:6" x14ac:dyDescent="0.25">
      <c r="A72" s="28" t="s">
        <v>52</v>
      </c>
      <c r="B72" s="35">
        <v>0.03</v>
      </c>
      <c r="C72" s="133">
        <f>C70*B72</f>
        <v>102.57</v>
      </c>
      <c r="D72" s="133"/>
      <c r="E72" s="133">
        <f>C72*12</f>
        <v>1230.8399999999999</v>
      </c>
      <c r="F72" s="133"/>
    </row>
    <row r="73" spans="1:6" x14ac:dyDescent="0.25">
      <c r="A73" s="134" t="s">
        <v>100</v>
      </c>
      <c r="B73" s="134"/>
      <c r="C73" s="131">
        <f>C70+C72</f>
        <v>3521.5</v>
      </c>
      <c r="D73" s="131"/>
      <c r="E73" s="131">
        <f>E70+E72</f>
        <v>42258</v>
      </c>
      <c r="F73" s="131"/>
    </row>
    <row r="74" spans="1:6" x14ac:dyDescent="0.25">
      <c r="A74" s="134"/>
      <c r="B74" s="134"/>
      <c r="C74" s="131"/>
      <c r="D74" s="131"/>
      <c r="E74" s="131"/>
      <c r="F74" s="131"/>
    </row>
    <row r="75" spans="1:6" x14ac:dyDescent="0.25">
      <c r="A75" s="28" t="s">
        <v>44</v>
      </c>
      <c r="B75" s="35">
        <v>6.7900000000000002E-2</v>
      </c>
      <c r="C75" s="133">
        <f>C73*B75</f>
        <v>239.11</v>
      </c>
      <c r="D75" s="133"/>
      <c r="E75" s="133">
        <f>C75*12</f>
        <v>2869.32</v>
      </c>
      <c r="F75" s="133"/>
    </row>
    <row r="76" spans="1:6" x14ac:dyDescent="0.25">
      <c r="A76" s="135" t="s">
        <v>45</v>
      </c>
      <c r="B76" s="135"/>
      <c r="C76" s="135"/>
      <c r="D76" s="135"/>
      <c r="E76" s="29"/>
      <c r="F76" s="30"/>
    </row>
    <row r="77" spans="1:6" x14ac:dyDescent="0.25">
      <c r="A77" s="130" t="s">
        <v>46</v>
      </c>
      <c r="B77" s="130"/>
      <c r="C77" s="136">
        <f>C75+C72+C70</f>
        <v>3760.61</v>
      </c>
      <c r="D77" s="136"/>
      <c r="E77" s="136">
        <f>E75+E72+E70</f>
        <v>45127.32</v>
      </c>
      <c r="F77" s="136"/>
    </row>
    <row r="78" spans="1:6" x14ac:dyDescent="0.25">
      <c r="A78" s="137" t="s">
        <v>47</v>
      </c>
      <c r="B78" s="138"/>
      <c r="C78" s="138"/>
      <c r="D78" s="138"/>
      <c r="E78" s="138"/>
      <c r="F78" s="139"/>
    </row>
    <row r="79" spans="1:6" x14ac:dyDescent="0.25">
      <c r="A79" s="31" t="s">
        <v>48</v>
      </c>
      <c r="B79" s="31"/>
      <c r="C79" s="132" t="s">
        <v>12</v>
      </c>
      <c r="D79" s="132"/>
      <c r="E79" s="132" t="s">
        <v>2</v>
      </c>
      <c r="F79" s="132"/>
    </row>
    <row r="80" spans="1:6" x14ac:dyDescent="0.25">
      <c r="A80" s="32" t="s">
        <v>49</v>
      </c>
      <c r="B80" s="35">
        <v>7.5999999999999998E-2</v>
      </c>
      <c r="C80" s="133">
        <f>($C$77)*B80/(1-($B$83))</f>
        <v>333.3</v>
      </c>
      <c r="D80" s="133"/>
      <c r="E80" s="133">
        <f>C80*12</f>
        <v>3999.6</v>
      </c>
      <c r="F80" s="133"/>
    </row>
    <row r="81" spans="1:6" x14ac:dyDescent="0.25">
      <c r="A81" s="32" t="s">
        <v>50</v>
      </c>
      <c r="B81" s="35">
        <v>1.6500000000000001E-2</v>
      </c>
      <c r="C81" s="133">
        <f t="shared" ref="C81:C82" si="9">($C$77)*B81/(1-($B$83))</f>
        <v>72.36</v>
      </c>
      <c r="D81" s="133"/>
      <c r="E81" s="133">
        <f t="shared" ref="E81:E82" si="10">C81*12</f>
        <v>868.32</v>
      </c>
      <c r="F81" s="133"/>
    </row>
    <row r="82" spans="1:6" x14ac:dyDescent="0.25">
      <c r="A82" s="32" t="s">
        <v>53</v>
      </c>
      <c r="B82" s="35">
        <v>0.05</v>
      </c>
      <c r="C82" s="133">
        <f t="shared" si="9"/>
        <v>219.28</v>
      </c>
      <c r="D82" s="133"/>
      <c r="E82" s="133">
        <f t="shared" si="10"/>
        <v>2631.36</v>
      </c>
      <c r="F82" s="133"/>
    </row>
    <row r="83" spans="1:6" x14ac:dyDescent="0.25">
      <c r="A83" s="33" t="s">
        <v>51</v>
      </c>
      <c r="B83" s="34">
        <f>SUM(B80:B82)</f>
        <v>0.14249999999999999</v>
      </c>
      <c r="C83" s="133">
        <f>SUM(C80:D82)</f>
        <v>624.94000000000005</v>
      </c>
      <c r="D83" s="133"/>
      <c r="E83" s="144">
        <f>SUM(E80:F82)</f>
        <v>7499.28</v>
      </c>
      <c r="F83" s="145"/>
    </row>
    <row r="84" spans="1:6" x14ac:dyDescent="0.25">
      <c r="A84" s="146" t="s">
        <v>98</v>
      </c>
      <c r="B84" s="146"/>
      <c r="C84" s="140">
        <f>C72+C75+C83</f>
        <v>966.62</v>
      </c>
      <c r="D84" s="140"/>
      <c r="E84" s="140">
        <f>C84*12</f>
        <v>11599.44</v>
      </c>
      <c r="F84" s="140"/>
    </row>
    <row r="85" spans="1:6" x14ac:dyDescent="0.25">
      <c r="A85" s="141"/>
      <c r="B85" s="142"/>
      <c r="C85" s="142"/>
      <c r="D85" s="142"/>
      <c r="E85" s="142"/>
      <c r="F85" s="143"/>
    </row>
    <row r="86" spans="1:6" x14ac:dyDescent="0.25">
      <c r="A86" s="148" t="s">
        <v>54</v>
      </c>
      <c r="B86" s="151" t="s">
        <v>12</v>
      </c>
      <c r="C86" s="151"/>
      <c r="D86" s="152" t="s">
        <v>3</v>
      </c>
      <c r="E86" s="153"/>
      <c r="F86" s="154"/>
    </row>
    <row r="87" spans="1:6" x14ac:dyDescent="0.25">
      <c r="A87" s="149"/>
      <c r="B87" s="25" t="s">
        <v>5</v>
      </c>
      <c r="C87" s="26">
        <f>C34</f>
        <v>3227.32</v>
      </c>
      <c r="D87" s="25" t="s">
        <v>5</v>
      </c>
      <c r="E87" s="155">
        <f>D34</f>
        <v>38727.839999999997</v>
      </c>
      <c r="F87" s="156"/>
    </row>
    <row r="88" spans="1:6" x14ac:dyDescent="0.25">
      <c r="A88" s="149"/>
      <c r="B88" s="25" t="s">
        <v>6</v>
      </c>
      <c r="C88" s="26">
        <f>C53</f>
        <v>191.61</v>
      </c>
      <c r="D88" s="25" t="s">
        <v>6</v>
      </c>
      <c r="E88" s="155">
        <f>D53</f>
        <v>2299.3200000000002</v>
      </c>
      <c r="F88" s="156"/>
    </row>
    <row r="89" spans="1:6" x14ac:dyDescent="0.25">
      <c r="A89" s="149"/>
      <c r="B89" s="25" t="s">
        <v>7</v>
      </c>
      <c r="C89" s="26">
        <f>C66</f>
        <v>72.34</v>
      </c>
      <c r="D89" s="25" t="s">
        <v>7</v>
      </c>
      <c r="E89" s="155">
        <f>F66</f>
        <v>868.08</v>
      </c>
      <c r="F89" s="156"/>
    </row>
    <row r="90" spans="1:6" x14ac:dyDescent="0.25">
      <c r="A90" s="149"/>
      <c r="B90" s="25" t="s">
        <v>8</v>
      </c>
      <c r="C90" s="26">
        <f>C84</f>
        <v>966.62</v>
      </c>
      <c r="D90" s="25" t="s">
        <v>8</v>
      </c>
      <c r="E90" s="155">
        <f>E84</f>
        <v>11599.44</v>
      </c>
      <c r="F90" s="156"/>
    </row>
    <row r="91" spans="1:6" x14ac:dyDescent="0.25">
      <c r="A91" s="150"/>
      <c r="B91" s="24" t="s">
        <v>12</v>
      </c>
      <c r="C91" s="27">
        <f>SUM(C87:C90)</f>
        <v>4457.8900000000003</v>
      </c>
      <c r="D91" s="24" t="s">
        <v>42</v>
      </c>
      <c r="E91" s="157">
        <f>SUM(E87:E90)</f>
        <v>53494.68</v>
      </c>
      <c r="F91" s="158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ht="18" x14ac:dyDescent="0.25">
      <c r="A94" s="102" t="s">
        <v>130</v>
      </c>
      <c r="B94" s="103"/>
      <c r="C94" s="103"/>
      <c r="D94" s="104"/>
      <c r="E94" s="102">
        <v>2</v>
      </c>
      <c r="F94" s="104"/>
    </row>
    <row r="95" spans="1:6" ht="18" x14ac:dyDescent="0.25">
      <c r="A95" s="102" t="s">
        <v>131</v>
      </c>
      <c r="B95" s="103"/>
      <c r="C95" s="103"/>
      <c r="D95" s="104"/>
      <c r="E95" s="101">
        <f>C91*E94</f>
        <v>8915.7800000000007</v>
      </c>
      <c r="F95" s="101"/>
    </row>
    <row r="96" spans="1:6" ht="18" x14ac:dyDescent="0.25">
      <c r="A96" s="102" t="s">
        <v>132</v>
      </c>
      <c r="B96" s="103"/>
      <c r="C96" s="103"/>
      <c r="D96" s="104"/>
      <c r="E96" s="101">
        <f>E95*12</f>
        <v>106989.36</v>
      </c>
      <c r="F96" s="101"/>
    </row>
  </sheetData>
  <mergeCells count="62">
    <mergeCell ref="A96:D96"/>
    <mergeCell ref="E96:F96"/>
    <mergeCell ref="A94:D94"/>
    <mergeCell ref="E94:F94"/>
    <mergeCell ref="A95:D95"/>
    <mergeCell ref="E95:F95"/>
    <mergeCell ref="A85:F85"/>
    <mergeCell ref="A86:A91"/>
    <mergeCell ref="B86:C86"/>
    <mergeCell ref="D86:F86"/>
    <mergeCell ref="E87:F87"/>
    <mergeCell ref="E88:F88"/>
    <mergeCell ref="E89:F89"/>
    <mergeCell ref="E90:F90"/>
    <mergeCell ref="E91:F91"/>
    <mergeCell ref="C82:D82"/>
    <mergeCell ref="E82:F82"/>
    <mergeCell ref="C83:D83"/>
    <mergeCell ref="E83:F83"/>
    <mergeCell ref="A84:B84"/>
    <mergeCell ref="C84:D84"/>
    <mergeCell ref="E84:F84"/>
    <mergeCell ref="C81:D81"/>
    <mergeCell ref="E81:F81"/>
    <mergeCell ref="C75:D75"/>
    <mergeCell ref="E75:F75"/>
    <mergeCell ref="A76:D76"/>
    <mergeCell ref="A77:B77"/>
    <mergeCell ref="C77:D77"/>
    <mergeCell ref="E77:F77"/>
    <mergeCell ref="A78:F78"/>
    <mergeCell ref="C79:D79"/>
    <mergeCell ref="E79:F79"/>
    <mergeCell ref="C80:D80"/>
    <mergeCell ref="E80:F80"/>
    <mergeCell ref="A73:B74"/>
    <mergeCell ref="C73:D74"/>
    <mergeCell ref="E73:F74"/>
    <mergeCell ref="A66:B66"/>
    <mergeCell ref="D66:E66"/>
    <mergeCell ref="A67:F67"/>
    <mergeCell ref="A68:F68"/>
    <mergeCell ref="A69:B69"/>
    <mergeCell ref="C69:D69"/>
    <mergeCell ref="E69:F69"/>
    <mergeCell ref="A70:B71"/>
    <mergeCell ref="C70:D71"/>
    <mergeCell ref="E70:F71"/>
    <mergeCell ref="C72:D72"/>
    <mergeCell ref="E72:F72"/>
    <mergeCell ref="A57:F57"/>
    <mergeCell ref="A1:E1"/>
    <mergeCell ref="A2:E2"/>
    <mergeCell ref="A3:E3"/>
    <mergeCell ref="C5:C8"/>
    <mergeCell ref="D5:D8"/>
    <mergeCell ref="E5:E8"/>
    <mergeCell ref="A9:D9"/>
    <mergeCell ref="A34:B34"/>
    <mergeCell ref="A36:D36"/>
    <mergeCell ref="A53:B53"/>
    <mergeCell ref="A55:F55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6387-50B8-45CE-A40D-FB2362CD423D}">
  <sheetPr>
    <pageSetUpPr fitToPage="1"/>
  </sheetPr>
  <dimension ref="A1:F96"/>
  <sheetViews>
    <sheetView tabSelected="1" workbookViewId="0">
      <selection activeCell="A7" sqref="A7:B7"/>
    </sheetView>
  </sheetViews>
  <sheetFormatPr defaultRowHeight="15" x14ac:dyDescent="0.25"/>
  <cols>
    <col min="1" max="1" width="38.85546875" customWidth="1"/>
    <col min="2" max="2" width="11" customWidth="1"/>
    <col min="3" max="3" width="10.28515625" bestFit="1" customWidth="1"/>
    <col min="4" max="4" width="13.5703125" bestFit="1" customWidth="1"/>
    <col min="5" max="5" width="16.7109375" customWidth="1"/>
    <col min="6" max="6" width="14.42578125" bestFit="1" customWidth="1"/>
  </cols>
  <sheetData>
    <row r="1" spans="1:6" ht="35.25" customHeight="1" x14ac:dyDescent="0.25">
      <c r="A1" s="107" t="s">
        <v>136</v>
      </c>
      <c r="B1" s="108"/>
      <c r="C1" s="108"/>
      <c r="D1" s="108"/>
      <c r="E1" s="109"/>
      <c r="F1" s="1"/>
    </row>
    <row r="2" spans="1:6" x14ac:dyDescent="0.25">
      <c r="A2" s="107" t="s">
        <v>137</v>
      </c>
      <c r="B2" s="108"/>
      <c r="C2" s="108"/>
      <c r="D2" s="108"/>
      <c r="E2" s="109"/>
      <c r="F2" s="1"/>
    </row>
    <row r="3" spans="1:6" x14ac:dyDescent="0.25">
      <c r="A3" s="110" t="s">
        <v>23</v>
      </c>
      <c r="B3" s="110"/>
      <c r="C3" s="110"/>
      <c r="D3" s="110"/>
      <c r="E3" s="110"/>
      <c r="F3" s="1"/>
    </row>
    <row r="4" spans="1:6" ht="24" x14ac:dyDescent="0.25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25">
      <c r="A5" s="4" t="s">
        <v>114</v>
      </c>
      <c r="B5" s="6">
        <f>1764/220*200</f>
        <v>1603.64</v>
      </c>
      <c r="C5" s="113">
        <v>1</v>
      </c>
      <c r="D5" s="114">
        <f>SUM(B5:B8)*C5</f>
        <v>2268.84</v>
      </c>
      <c r="E5" s="114">
        <f>D5*12</f>
        <v>27226.080000000002</v>
      </c>
      <c r="F5" s="1"/>
    </row>
    <row r="6" spans="1:6" x14ac:dyDescent="0.25">
      <c r="A6" s="4" t="s">
        <v>112</v>
      </c>
      <c r="B6" s="6">
        <v>0</v>
      </c>
      <c r="C6" s="113"/>
      <c r="D6" s="114"/>
      <c r="E6" s="114"/>
      <c r="F6" s="1"/>
    </row>
    <row r="7" spans="1:6" ht="24" x14ac:dyDescent="0.25">
      <c r="A7" s="4" t="s">
        <v>175</v>
      </c>
      <c r="B7" s="6">
        <v>58</v>
      </c>
      <c r="C7" s="113"/>
      <c r="D7" s="114"/>
      <c r="E7" s="114"/>
      <c r="F7" s="1"/>
    </row>
    <row r="8" spans="1:6" x14ac:dyDescent="0.25">
      <c r="A8" s="65" t="s">
        <v>176</v>
      </c>
      <c r="B8" s="6">
        <f>1518*40%</f>
        <v>607.20000000000005</v>
      </c>
      <c r="C8" s="113"/>
      <c r="D8" s="114"/>
      <c r="E8" s="114"/>
      <c r="F8" s="1"/>
    </row>
    <row r="9" spans="1:6" x14ac:dyDescent="0.25">
      <c r="A9" s="111"/>
      <c r="B9" s="112"/>
      <c r="C9" s="112"/>
      <c r="D9" s="112"/>
      <c r="E9" s="53"/>
      <c r="F9" s="1"/>
    </row>
    <row r="10" spans="1:6" ht="24" x14ac:dyDescent="0.25">
      <c r="A10" s="8" t="s">
        <v>13</v>
      </c>
      <c r="B10" s="15" t="s">
        <v>1</v>
      </c>
      <c r="C10" s="15" t="s">
        <v>12</v>
      </c>
      <c r="D10" s="15" t="s">
        <v>2</v>
      </c>
      <c r="E10" s="40"/>
      <c r="F10" s="1"/>
    </row>
    <row r="11" spans="1:6" x14ac:dyDescent="0.25">
      <c r="A11" s="4" t="s">
        <v>20</v>
      </c>
      <c r="B11" s="5">
        <v>8.3299999999999999E-2</v>
      </c>
      <c r="C11" s="6">
        <f>B11*$D$5</f>
        <v>188.99</v>
      </c>
      <c r="D11" s="6">
        <f>B11*$E$5</f>
        <v>2267.9299999999998</v>
      </c>
      <c r="E11" s="54"/>
      <c r="F11" s="37"/>
    </row>
    <row r="12" spans="1:6" ht="36" x14ac:dyDescent="0.25">
      <c r="A12" s="4" t="s">
        <v>102</v>
      </c>
      <c r="B12" s="5">
        <v>2.7799999999999998E-2</v>
      </c>
      <c r="C12" s="6">
        <f>B12*$D$5</f>
        <v>63.07</v>
      </c>
      <c r="D12" s="6">
        <f>B12*$E$5</f>
        <v>756.89</v>
      </c>
      <c r="E12" s="37"/>
      <c r="F12" s="37"/>
    </row>
    <row r="13" spans="1:6" x14ac:dyDescent="0.25">
      <c r="A13" s="15" t="s">
        <v>14</v>
      </c>
      <c r="B13" s="16">
        <f>SUM(B11:B12)</f>
        <v>0.1111</v>
      </c>
      <c r="C13" s="17">
        <f>SUM(C11:C12)</f>
        <v>252.06</v>
      </c>
      <c r="D13" s="17">
        <f>C13*12</f>
        <v>3024.72</v>
      </c>
      <c r="E13" s="40"/>
      <c r="F13" s="40"/>
    </row>
    <row r="14" spans="1:6" x14ac:dyDescent="0.25">
      <c r="A14" s="52"/>
      <c r="B14" s="52"/>
      <c r="C14" s="52"/>
      <c r="D14" s="55"/>
      <c r="E14" s="53"/>
      <c r="F14" s="53"/>
    </row>
    <row r="15" spans="1:6" ht="24" x14ac:dyDescent="0.25">
      <c r="A15" s="8" t="s">
        <v>15</v>
      </c>
      <c r="B15" s="15" t="s">
        <v>1</v>
      </c>
      <c r="C15" s="15" t="s">
        <v>12</v>
      </c>
      <c r="D15" s="15" t="s">
        <v>2</v>
      </c>
      <c r="E15" s="37"/>
      <c r="F15" s="37"/>
    </row>
    <row r="16" spans="1:6" x14ac:dyDescent="0.25">
      <c r="A16" s="4" t="s">
        <v>21</v>
      </c>
      <c r="B16" s="5">
        <v>0.2</v>
      </c>
      <c r="C16" s="6">
        <f t="shared" ref="C16:C23" si="0">B16*$D$5</f>
        <v>453.77</v>
      </c>
      <c r="D16" s="6">
        <f t="shared" ref="D16:D23" si="1">B16*$E$5</f>
        <v>5445.22</v>
      </c>
      <c r="E16" s="54"/>
      <c r="F16" s="37"/>
    </row>
    <row r="17" spans="1:6" x14ac:dyDescent="0.25">
      <c r="A17" s="4" t="s">
        <v>57</v>
      </c>
      <c r="B17" s="5">
        <v>2.5000000000000001E-2</v>
      </c>
      <c r="C17" s="6">
        <f t="shared" si="0"/>
        <v>56.72</v>
      </c>
      <c r="D17" s="6">
        <f t="shared" si="1"/>
        <v>680.65</v>
      </c>
      <c r="E17" s="37"/>
      <c r="F17" s="37"/>
    </row>
    <row r="18" spans="1:6" x14ac:dyDescent="0.25">
      <c r="A18" s="4" t="s">
        <v>58</v>
      </c>
      <c r="B18" s="5">
        <v>0.03</v>
      </c>
      <c r="C18" s="6">
        <f t="shared" si="0"/>
        <v>68.069999999999993</v>
      </c>
      <c r="D18" s="6">
        <f t="shared" si="1"/>
        <v>816.78</v>
      </c>
      <c r="E18" s="37"/>
      <c r="F18" s="37"/>
    </row>
    <row r="19" spans="1:6" x14ac:dyDescent="0.25">
      <c r="A19" s="4" t="s">
        <v>59</v>
      </c>
      <c r="B19" s="5">
        <v>1.4999999999999999E-2</v>
      </c>
      <c r="C19" s="6">
        <f t="shared" si="0"/>
        <v>34.03</v>
      </c>
      <c r="D19" s="6">
        <f t="shared" si="1"/>
        <v>408.39</v>
      </c>
      <c r="E19" s="37"/>
      <c r="F19" s="37"/>
    </row>
    <row r="20" spans="1:6" x14ac:dyDescent="0.25">
      <c r="A20" s="4" t="s">
        <v>60</v>
      </c>
      <c r="B20" s="5">
        <v>0.01</v>
      </c>
      <c r="C20" s="6">
        <f t="shared" si="0"/>
        <v>22.69</v>
      </c>
      <c r="D20" s="6">
        <f t="shared" si="1"/>
        <v>272.26</v>
      </c>
      <c r="E20" s="37"/>
      <c r="F20" s="37"/>
    </row>
    <row r="21" spans="1:6" x14ac:dyDescent="0.25">
      <c r="A21" s="4" t="s">
        <v>61</v>
      </c>
      <c r="B21" s="5">
        <v>6.0000000000000001E-3</v>
      </c>
      <c r="C21" s="6">
        <f t="shared" si="0"/>
        <v>13.61</v>
      </c>
      <c r="D21" s="6">
        <f t="shared" si="1"/>
        <v>163.36000000000001</v>
      </c>
      <c r="E21" s="37"/>
      <c r="F21" s="37"/>
    </row>
    <row r="22" spans="1:6" x14ac:dyDescent="0.25">
      <c r="A22" s="4" t="s">
        <v>62</v>
      </c>
      <c r="B22" s="5">
        <v>2E-3</v>
      </c>
      <c r="C22" s="6">
        <f t="shared" si="0"/>
        <v>4.54</v>
      </c>
      <c r="D22" s="6">
        <f t="shared" si="1"/>
        <v>54.45</v>
      </c>
      <c r="E22" s="37"/>
      <c r="F22" s="37"/>
    </row>
    <row r="23" spans="1:6" x14ac:dyDescent="0.25">
      <c r="A23" s="4" t="s">
        <v>63</v>
      </c>
      <c r="B23" s="5">
        <v>0.08</v>
      </c>
      <c r="C23" s="6">
        <f t="shared" si="0"/>
        <v>181.51</v>
      </c>
      <c r="D23" s="6">
        <f t="shared" si="1"/>
        <v>2178.09</v>
      </c>
      <c r="E23" s="37"/>
      <c r="F23" s="37"/>
    </row>
    <row r="24" spans="1:6" x14ac:dyDescent="0.25">
      <c r="A24" s="15" t="s">
        <v>16</v>
      </c>
      <c r="B24" s="16">
        <f>SUM(B16:B23)</f>
        <v>0.36799999999999999</v>
      </c>
      <c r="C24" s="17">
        <f>SUM(C16:C23)</f>
        <v>834.94</v>
      </c>
      <c r="D24" s="17">
        <f>C24*12</f>
        <v>10019.280000000001</v>
      </c>
      <c r="E24" s="40"/>
      <c r="F24" s="40"/>
    </row>
    <row r="25" spans="1:6" x14ac:dyDescent="0.25">
      <c r="A25" s="53"/>
      <c r="B25" s="53"/>
      <c r="C25" s="53"/>
      <c r="D25" s="53"/>
      <c r="E25" s="53"/>
      <c r="F25" s="53"/>
    </row>
    <row r="26" spans="1:6" ht="24" x14ac:dyDescent="0.25">
      <c r="A26" s="8" t="s">
        <v>94</v>
      </c>
      <c r="B26" s="15" t="s">
        <v>22</v>
      </c>
      <c r="C26" s="15" t="s">
        <v>12</v>
      </c>
      <c r="D26" s="15" t="s">
        <v>2</v>
      </c>
      <c r="E26" s="41"/>
      <c r="F26" s="1"/>
    </row>
    <row r="27" spans="1:6" ht="24" x14ac:dyDescent="0.25">
      <c r="A27" s="4" t="s">
        <v>93</v>
      </c>
      <c r="B27" s="60">
        <f>(3.8*24*2)-B5*0.06</f>
        <v>86.18</v>
      </c>
      <c r="C27" s="6">
        <f t="shared" ref="C27:C28" si="2">B27*(SUM($C$5:$C$5))</f>
        <v>86.18</v>
      </c>
      <c r="D27" s="6">
        <f>C27*12</f>
        <v>1034.1600000000001</v>
      </c>
      <c r="E27" s="41"/>
      <c r="F27" s="1"/>
    </row>
    <row r="28" spans="1:6" x14ac:dyDescent="0.25">
      <c r="A28" s="4" t="s">
        <v>17</v>
      </c>
      <c r="B28" s="60">
        <f>805*80%</f>
        <v>644</v>
      </c>
      <c r="C28" s="6">
        <f t="shared" si="2"/>
        <v>644</v>
      </c>
      <c r="D28" s="6">
        <f t="shared" ref="D28:D31" si="3">C28*12</f>
        <v>7728</v>
      </c>
      <c r="E28" s="41"/>
      <c r="F28" s="37"/>
    </row>
    <row r="29" spans="1:6" x14ac:dyDescent="0.25">
      <c r="A29" s="4" t="s">
        <v>18</v>
      </c>
      <c r="B29" s="60">
        <v>87.5</v>
      </c>
      <c r="C29" s="6">
        <v>87.5</v>
      </c>
      <c r="D29" s="6">
        <f t="shared" si="3"/>
        <v>1050</v>
      </c>
      <c r="E29" s="41"/>
      <c r="F29" s="37"/>
    </row>
    <row r="30" spans="1:6" x14ac:dyDescent="0.25">
      <c r="A30" s="4" t="s">
        <v>19</v>
      </c>
      <c r="B30" s="60">
        <v>28</v>
      </c>
      <c r="C30" s="6">
        <v>28</v>
      </c>
      <c r="D30" s="6">
        <f t="shared" si="3"/>
        <v>336</v>
      </c>
      <c r="E30" s="41"/>
      <c r="F30" s="37"/>
    </row>
    <row r="31" spans="1:6" x14ac:dyDescent="0.25">
      <c r="A31" s="61" t="s">
        <v>91</v>
      </c>
      <c r="B31" s="62">
        <v>28</v>
      </c>
      <c r="C31" s="63">
        <v>28</v>
      </c>
      <c r="D31" s="64">
        <f t="shared" si="3"/>
        <v>336</v>
      </c>
      <c r="E31" s="41"/>
      <c r="F31" s="40"/>
    </row>
    <row r="32" spans="1:6" x14ac:dyDescent="0.25">
      <c r="A32" s="65" t="s">
        <v>88</v>
      </c>
      <c r="B32" s="66">
        <f>(805*80%)</f>
        <v>644</v>
      </c>
      <c r="C32" s="69">
        <f>B32/12</f>
        <v>53.667000000000002</v>
      </c>
      <c r="D32" s="63">
        <f>C32*12</f>
        <v>644</v>
      </c>
      <c r="E32" s="41"/>
      <c r="F32" s="40"/>
    </row>
    <row r="33" spans="1:6" x14ac:dyDescent="0.25">
      <c r="A33" s="67" t="s">
        <v>89</v>
      </c>
      <c r="B33" s="68">
        <f>SUM(B27:B32)</f>
        <v>1517.68</v>
      </c>
      <c r="C33" s="68">
        <f>SUM(C27:C32)</f>
        <v>927.35</v>
      </c>
      <c r="D33" s="68">
        <f>C33*12</f>
        <v>11128.2</v>
      </c>
      <c r="E33" s="40"/>
      <c r="F33" s="40"/>
    </row>
    <row r="34" spans="1:6" ht="29.25" customHeight="1" x14ac:dyDescent="0.25">
      <c r="A34" s="105" t="s">
        <v>4</v>
      </c>
      <c r="B34" s="106"/>
      <c r="C34" s="48">
        <f>D5+C13+C24+C33</f>
        <v>4283.1899999999996</v>
      </c>
      <c r="D34" s="48">
        <f>SUM(E5+D13+D24+D33)</f>
        <v>51398.28</v>
      </c>
      <c r="E34" s="40"/>
      <c r="F34" s="40"/>
    </row>
    <row r="35" spans="1:6" x14ac:dyDescent="0.25">
      <c r="A35" s="40"/>
      <c r="B35" s="40"/>
      <c r="C35" s="40"/>
      <c r="D35" s="40"/>
      <c r="E35" s="40"/>
      <c r="F35" s="40"/>
    </row>
    <row r="36" spans="1:6" x14ac:dyDescent="0.25">
      <c r="A36" s="115" t="s">
        <v>31</v>
      </c>
      <c r="B36" s="115"/>
      <c r="C36" s="115"/>
      <c r="D36" s="115"/>
      <c r="E36" s="40"/>
      <c r="F36" s="40"/>
    </row>
    <row r="37" spans="1:6" ht="24" x14ac:dyDescent="0.25">
      <c r="A37" s="18" t="s">
        <v>30</v>
      </c>
      <c r="B37" s="19" t="s">
        <v>1</v>
      </c>
      <c r="C37" s="19" t="s">
        <v>12</v>
      </c>
      <c r="D37" s="19" t="s">
        <v>2</v>
      </c>
      <c r="E37" s="40"/>
      <c r="F37" s="40"/>
    </row>
    <row r="38" spans="1:6" x14ac:dyDescent="0.25">
      <c r="A38" s="10" t="s">
        <v>24</v>
      </c>
      <c r="B38" s="13">
        <v>4.1999999999999997E-3</v>
      </c>
      <c r="C38" s="11">
        <f t="shared" ref="C38:C43" si="4">B38*$D$5</f>
        <v>9.5299999999999994</v>
      </c>
      <c r="D38" s="11">
        <f t="shared" ref="D38:D43" si="5">B38*$E$5</f>
        <v>114.35</v>
      </c>
      <c r="E38" s="37"/>
      <c r="F38" s="1"/>
    </row>
    <row r="39" spans="1:6" ht="24" x14ac:dyDescent="0.25">
      <c r="A39" s="10" t="s">
        <v>25</v>
      </c>
      <c r="B39" s="14">
        <v>3.3E-4</v>
      </c>
      <c r="C39" s="11">
        <f t="shared" si="4"/>
        <v>0.75</v>
      </c>
      <c r="D39" s="11">
        <f t="shared" si="5"/>
        <v>8.98</v>
      </c>
      <c r="E39" s="37"/>
      <c r="F39" s="1"/>
    </row>
    <row r="40" spans="1:6" x14ac:dyDescent="0.25">
      <c r="A40" s="10" t="s">
        <v>26</v>
      </c>
      <c r="B40" s="14">
        <v>1.6000000000000001E-4</v>
      </c>
      <c r="C40" s="11">
        <f t="shared" si="4"/>
        <v>0.36</v>
      </c>
      <c r="D40" s="11">
        <f t="shared" si="5"/>
        <v>4.3600000000000003</v>
      </c>
      <c r="E40" s="37"/>
      <c r="F40" s="1"/>
    </row>
    <row r="41" spans="1:6" x14ac:dyDescent="0.25">
      <c r="A41" s="10" t="s">
        <v>27</v>
      </c>
      <c r="B41" s="13">
        <v>1.9400000000000001E-2</v>
      </c>
      <c r="C41" s="11">
        <f t="shared" si="4"/>
        <v>44.02</v>
      </c>
      <c r="D41" s="11">
        <f t="shared" si="5"/>
        <v>528.19000000000005</v>
      </c>
      <c r="E41" s="37"/>
      <c r="F41" s="1"/>
    </row>
    <row r="42" spans="1:6" ht="24" x14ac:dyDescent="0.25">
      <c r="A42" s="10" t="s">
        <v>28</v>
      </c>
      <c r="B42" s="13">
        <f>B41*B24</f>
        <v>7.1000000000000004E-3</v>
      </c>
      <c r="C42" s="11">
        <f t="shared" si="4"/>
        <v>16.11</v>
      </c>
      <c r="D42" s="11">
        <f t="shared" si="5"/>
        <v>193.31</v>
      </c>
      <c r="E42" s="37"/>
      <c r="F42" s="1"/>
    </row>
    <row r="43" spans="1:6" ht="24" x14ac:dyDescent="0.25">
      <c r="A43" s="10" t="s">
        <v>29</v>
      </c>
      <c r="B43" s="14">
        <v>7.6999999999999996E-4</v>
      </c>
      <c r="C43" s="11">
        <f t="shared" si="4"/>
        <v>1.75</v>
      </c>
      <c r="D43" s="11">
        <f t="shared" si="5"/>
        <v>20.96</v>
      </c>
      <c r="E43" s="37"/>
      <c r="F43" s="1"/>
    </row>
    <row r="44" spans="1:6" x14ac:dyDescent="0.25">
      <c r="A44" s="19" t="s">
        <v>38</v>
      </c>
      <c r="B44" s="20">
        <f>SUM(B38:B43)</f>
        <v>3.2000000000000001E-2</v>
      </c>
      <c r="C44" s="21">
        <f>SUM(C38:C43)</f>
        <v>72.52</v>
      </c>
      <c r="D44" s="21">
        <f>C44*12</f>
        <v>870.24</v>
      </c>
      <c r="E44" s="40"/>
      <c r="F44" s="40"/>
    </row>
    <row r="45" spans="1:6" x14ac:dyDescent="0.25">
      <c r="A45" s="49"/>
      <c r="B45" s="50"/>
      <c r="C45" s="50"/>
      <c r="D45" s="50"/>
      <c r="E45" s="40"/>
      <c r="F45" s="40"/>
    </row>
    <row r="46" spans="1:6" ht="24" x14ac:dyDescent="0.25">
      <c r="A46" s="18" t="s">
        <v>32</v>
      </c>
      <c r="B46" s="19" t="s">
        <v>1</v>
      </c>
      <c r="C46" s="19" t="s">
        <v>12</v>
      </c>
      <c r="D46" s="19" t="s">
        <v>2</v>
      </c>
      <c r="E46" s="39"/>
      <c r="F46" s="39"/>
    </row>
    <row r="47" spans="1:6" x14ac:dyDescent="0.25">
      <c r="A47" s="10" t="s">
        <v>33</v>
      </c>
      <c r="B47" s="13">
        <v>8.3299999999999999E-2</v>
      </c>
      <c r="C47" s="11">
        <f>B47*$D$5</f>
        <v>188.99</v>
      </c>
      <c r="D47" s="11">
        <f>B47*$E$5</f>
        <v>2267.9299999999998</v>
      </c>
      <c r="E47" s="37"/>
      <c r="F47" s="37"/>
    </row>
    <row r="48" spans="1:6" ht="24" x14ac:dyDescent="0.25">
      <c r="A48" s="10" t="s">
        <v>34</v>
      </c>
      <c r="B48" s="13">
        <v>8.0000000000000004E-4</v>
      </c>
      <c r="C48" s="11">
        <f>B48*$D$5</f>
        <v>1.82</v>
      </c>
      <c r="D48" s="11">
        <f>B48*$E$5</f>
        <v>21.78</v>
      </c>
      <c r="E48" s="37"/>
      <c r="F48" s="37"/>
    </row>
    <row r="49" spans="1:6" ht="24" x14ac:dyDescent="0.25">
      <c r="A49" s="10" t="s">
        <v>35</v>
      </c>
      <c r="B49" s="13">
        <v>2.9999999999999997E-4</v>
      </c>
      <c r="C49" s="11">
        <f>B49*$D$5</f>
        <v>0.68</v>
      </c>
      <c r="D49" s="11">
        <f>B49*$E$5</f>
        <v>8.17</v>
      </c>
      <c r="E49" s="37"/>
      <c r="F49" s="37"/>
    </row>
    <row r="50" spans="1:6" ht="24" x14ac:dyDescent="0.25">
      <c r="A50" s="10" t="s">
        <v>36</v>
      </c>
      <c r="B50" s="13">
        <v>1.2999999999999999E-3</v>
      </c>
      <c r="C50" s="11">
        <f>B50*$D$5</f>
        <v>2.95</v>
      </c>
      <c r="D50" s="11">
        <f>B50*$E$5</f>
        <v>35.39</v>
      </c>
      <c r="E50" s="37"/>
      <c r="F50" s="37"/>
    </row>
    <row r="51" spans="1:6" x14ac:dyDescent="0.25">
      <c r="A51" s="10" t="s">
        <v>37</v>
      </c>
      <c r="B51" s="13">
        <v>8.2000000000000007E-3</v>
      </c>
      <c r="C51" s="11">
        <f>B51*$D$5</f>
        <v>18.600000000000001</v>
      </c>
      <c r="D51" s="11">
        <f>B51*$E$5</f>
        <v>223.25</v>
      </c>
      <c r="E51" s="37"/>
      <c r="F51" s="37"/>
    </row>
    <row r="52" spans="1:6" x14ac:dyDescent="0.25">
      <c r="A52" s="19" t="s">
        <v>39</v>
      </c>
      <c r="B52" s="20">
        <f>SUM(B47:B51)</f>
        <v>9.3899999999999997E-2</v>
      </c>
      <c r="C52" s="21">
        <f>SUM(C47:C51)</f>
        <v>213.04</v>
      </c>
      <c r="D52" s="21">
        <f>C52*12</f>
        <v>2556.48</v>
      </c>
      <c r="E52" s="39"/>
      <c r="F52" s="39"/>
    </row>
    <row r="53" spans="1:6" ht="24.75" customHeight="1" x14ac:dyDescent="0.25">
      <c r="A53" s="116" t="s">
        <v>40</v>
      </c>
      <c r="B53" s="117"/>
      <c r="C53" s="46">
        <f>SUM(C44+C52)</f>
        <v>285.56</v>
      </c>
      <c r="D53" s="47">
        <f>SUM(D44+D52)</f>
        <v>3426.72</v>
      </c>
      <c r="E53" s="39"/>
      <c r="F53" s="39"/>
    </row>
    <row r="54" spans="1:6" x14ac:dyDescent="0.25">
      <c r="A54" s="49"/>
      <c r="B54" s="50"/>
      <c r="C54" s="50"/>
      <c r="D54" s="50"/>
      <c r="E54" s="51"/>
      <c r="F54" s="51"/>
    </row>
    <row r="55" spans="1:6" x14ac:dyDescent="0.25">
      <c r="A55" s="118" t="s">
        <v>115</v>
      </c>
      <c r="B55" s="119"/>
      <c r="C55" s="119"/>
      <c r="D55" s="119"/>
      <c r="E55" s="119"/>
      <c r="F55" s="120"/>
    </row>
    <row r="56" spans="1:6" ht="24" x14ac:dyDescent="0.25">
      <c r="A56" s="22" t="s">
        <v>116</v>
      </c>
      <c r="B56" s="23" t="s">
        <v>90</v>
      </c>
      <c r="C56" s="23" t="s">
        <v>104</v>
      </c>
      <c r="D56" s="23" t="s">
        <v>0</v>
      </c>
      <c r="E56" s="23" t="s">
        <v>12</v>
      </c>
      <c r="F56" s="23" t="s">
        <v>2</v>
      </c>
    </row>
    <row r="57" spans="1:6" x14ac:dyDescent="0.25">
      <c r="A57" s="121" t="s">
        <v>95</v>
      </c>
      <c r="B57" s="122"/>
      <c r="C57" s="122"/>
      <c r="D57" s="122"/>
      <c r="E57" s="122"/>
      <c r="F57" s="123"/>
    </row>
    <row r="58" spans="1:6" x14ac:dyDescent="0.25">
      <c r="A58" s="9" t="s">
        <v>117</v>
      </c>
      <c r="B58" s="2">
        <v>2</v>
      </c>
      <c r="C58" s="45">
        <f>B58*$C$5</f>
        <v>2</v>
      </c>
      <c r="D58" s="58">
        <v>49.1</v>
      </c>
      <c r="E58" s="3">
        <f>D58*C58/12</f>
        <v>8.18</v>
      </c>
      <c r="F58" s="3">
        <f>D58*C58</f>
        <v>98.2</v>
      </c>
    </row>
    <row r="59" spans="1:6" x14ac:dyDescent="0.25">
      <c r="A59" s="9" t="s">
        <v>118</v>
      </c>
      <c r="B59" s="2">
        <v>2</v>
      </c>
      <c r="C59" s="45">
        <f t="shared" ref="C59:C65" si="6">B59*$C$5</f>
        <v>2</v>
      </c>
      <c r="D59" s="58">
        <v>19.899999999999999</v>
      </c>
      <c r="E59" s="3">
        <f>D59*C59/12</f>
        <v>3.32</v>
      </c>
      <c r="F59" s="3">
        <f t="shared" ref="F59:F65" si="7">D59*C59</f>
        <v>39.799999999999997</v>
      </c>
    </row>
    <row r="60" spans="1:6" x14ac:dyDescent="0.25">
      <c r="A60" s="9" t="s">
        <v>119</v>
      </c>
      <c r="B60" s="2">
        <v>2</v>
      </c>
      <c r="C60" s="45">
        <f t="shared" si="6"/>
        <v>2</v>
      </c>
      <c r="D60" s="58">
        <v>65.38</v>
      </c>
      <c r="E60" s="3">
        <f t="shared" ref="E60:E65" si="8">D60*C60/12</f>
        <v>10.9</v>
      </c>
      <c r="F60" s="3">
        <f t="shared" si="7"/>
        <v>130.76</v>
      </c>
    </row>
    <row r="61" spans="1:6" x14ac:dyDescent="0.25">
      <c r="A61" s="9" t="s">
        <v>120</v>
      </c>
      <c r="B61" s="2">
        <v>2</v>
      </c>
      <c r="C61" s="45">
        <f t="shared" si="6"/>
        <v>2</v>
      </c>
      <c r="D61" s="58">
        <v>27.85</v>
      </c>
      <c r="E61" s="3">
        <f t="shared" si="8"/>
        <v>4.6399999999999997</v>
      </c>
      <c r="F61" s="3">
        <f t="shared" si="7"/>
        <v>55.7</v>
      </c>
    </row>
    <row r="62" spans="1:6" x14ac:dyDescent="0.25">
      <c r="A62" s="9" t="s">
        <v>121</v>
      </c>
      <c r="B62" s="2">
        <v>24</v>
      </c>
      <c r="C62" s="45">
        <f t="shared" si="6"/>
        <v>24</v>
      </c>
      <c r="D62" s="58">
        <v>12.9</v>
      </c>
      <c r="E62" s="3">
        <f t="shared" si="8"/>
        <v>25.8</v>
      </c>
      <c r="F62" s="3">
        <f t="shared" si="7"/>
        <v>309.60000000000002</v>
      </c>
    </row>
    <row r="63" spans="1:6" x14ac:dyDescent="0.25">
      <c r="A63" s="9" t="s">
        <v>122</v>
      </c>
      <c r="B63" s="2">
        <v>2</v>
      </c>
      <c r="C63" s="45">
        <f t="shared" si="6"/>
        <v>2</v>
      </c>
      <c r="D63" s="59">
        <v>73</v>
      </c>
      <c r="E63" s="3">
        <f t="shared" si="8"/>
        <v>12.17</v>
      </c>
      <c r="F63" s="3">
        <f t="shared" si="7"/>
        <v>146</v>
      </c>
    </row>
    <row r="64" spans="1:6" x14ac:dyDescent="0.25">
      <c r="A64" s="9" t="s">
        <v>123</v>
      </c>
      <c r="B64" s="2">
        <v>1</v>
      </c>
      <c r="C64" s="45">
        <f t="shared" si="6"/>
        <v>1</v>
      </c>
      <c r="D64" s="58">
        <v>37.9</v>
      </c>
      <c r="E64" s="3">
        <f t="shared" si="8"/>
        <v>3.16</v>
      </c>
      <c r="F64" s="3">
        <f t="shared" si="7"/>
        <v>37.9</v>
      </c>
    </row>
    <row r="65" spans="1:6" x14ac:dyDescent="0.25">
      <c r="A65" s="9" t="s">
        <v>124</v>
      </c>
      <c r="B65" s="2">
        <v>2</v>
      </c>
      <c r="C65" s="45">
        <f t="shared" si="6"/>
        <v>2</v>
      </c>
      <c r="D65" s="58">
        <v>25.02</v>
      </c>
      <c r="E65" s="3">
        <f t="shared" si="8"/>
        <v>4.17</v>
      </c>
      <c r="F65" s="3">
        <f t="shared" si="7"/>
        <v>50.04</v>
      </c>
    </row>
    <row r="66" spans="1:6" x14ac:dyDescent="0.25">
      <c r="A66" s="124" t="s">
        <v>96</v>
      </c>
      <c r="B66" s="124"/>
      <c r="C66" s="57">
        <f>SUM(E58:E65)</f>
        <v>72.34</v>
      </c>
      <c r="D66" s="125" t="s">
        <v>3</v>
      </c>
      <c r="E66" s="125"/>
      <c r="F66" s="56">
        <f>C66*12</f>
        <v>868.08</v>
      </c>
    </row>
    <row r="67" spans="1:6" x14ac:dyDescent="0.25">
      <c r="A67" s="127"/>
      <c r="B67" s="127"/>
      <c r="C67" s="127"/>
      <c r="D67" s="127"/>
      <c r="E67" s="127"/>
      <c r="F67" s="127"/>
    </row>
    <row r="68" spans="1:6" x14ac:dyDescent="0.25">
      <c r="A68" s="126" t="s">
        <v>97</v>
      </c>
      <c r="B68" s="126"/>
      <c r="C68" s="126"/>
      <c r="D68" s="126"/>
      <c r="E68" s="126"/>
      <c r="F68" s="126"/>
    </row>
    <row r="69" spans="1:6" x14ac:dyDescent="0.25">
      <c r="A69" s="128" t="s">
        <v>41</v>
      </c>
      <c r="B69" s="128" t="s">
        <v>43</v>
      </c>
      <c r="C69" s="129" t="s">
        <v>12</v>
      </c>
      <c r="D69" s="129"/>
      <c r="E69" s="129" t="s">
        <v>2</v>
      </c>
      <c r="F69" s="129"/>
    </row>
    <row r="70" spans="1:6" x14ac:dyDescent="0.25">
      <c r="A70" s="130" t="s">
        <v>99</v>
      </c>
      <c r="B70" s="130"/>
      <c r="C70" s="131">
        <f>SUM(C34,C53)</f>
        <v>4568.75</v>
      </c>
      <c r="D70" s="131"/>
      <c r="E70" s="131">
        <f>C70*12</f>
        <v>54825</v>
      </c>
      <c r="F70" s="131"/>
    </row>
    <row r="71" spans="1:6" ht="20.25" customHeight="1" x14ac:dyDescent="0.25">
      <c r="A71" s="130"/>
      <c r="B71" s="130"/>
      <c r="C71" s="131"/>
      <c r="D71" s="131"/>
      <c r="E71" s="131"/>
      <c r="F71" s="131"/>
    </row>
    <row r="72" spans="1:6" x14ac:dyDescent="0.25">
      <c r="A72" s="28" t="s">
        <v>52</v>
      </c>
      <c r="B72" s="35">
        <v>0.03</v>
      </c>
      <c r="C72" s="133">
        <f>C70*B72</f>
        <v>137.06</v>
      </c>
      <c r="D72" s="133"/>
      <c r="E72" s="133">
        <f>C72*12</f>
        <v>1644.72</v>
      </c>
      <c r="F72" s="133"/>
    </row>
    <row r="73" spans="1:6" x14ac:dyDescent="0.25">
      <c r="A73" s="134" t="s">
        <v>100</v>
      </c>
      <c r="B73" s="134"/>
      <c r="C73" s="131">
        <f>C70+C72</f>
        <v>4705.8100000000004</v>
      </c>
      <c r="D73" s="131"/>
      <c r="E73" s="131">
        <f>E70+E72</f>
        <v>56469.72</v>
      </c>
      <c r="F73" s="131"/>
    </row>
    <row r="74" spans="1:6" x14ac:dyDescent="0.25">
      <c r="A74" s="134"/>
      <c r="B74" s="134"/>
      <c r="C74" s="131"/>
      <c r="D74" s="131"/>
      <c r="E74" s="131"/>
      <c r="F74" s="131"/>
    </row>
    <row r="75" spans="1:6" x14ac:dyDescent="0.25">
      <c r="A75" s="28" t="s">
        <v>44</v>
      </c>
      <c r="B75" s="35">
        <v>6.7900000000000002E-2</v>
      </c>
      <c r="C75" s="133">
        <f>C73*B75</f>
        <v>319.52</v>
      </c>
      <c r="D75" s="133"/>
      <c r="E75" s="133">
        <f>C75*12</f>
        <v>3834.24</v>
      </c>
      <c r="F75" s="133"/>
    </row>
    <row r="76" spans="1:6" x14ac:dyDescent="0.25">
      <c r="A76" s="135" t="s">
        <v>45</v>
      </c>
      <c r="B76" s="135"/>
      <c r="C76" s="135"/>
      <c r="D76" s="135"/>
      <c r="E76" s="29"/>
      <c r="F76" s="30"/>
    </row>
    <row r="77" spans="1:6" x14ac:dyDescent="0.25">
      <c r="A77" s="130" t="s">
        <v>46</v>
      </c>
      <c r="B77" s="130"/>
      <c r="C77" s="136">
        <f>C75+C72+C70</f>
        <v>5025.33</v>
      </c>
      <c r="D77" s="136"/>
      <c r="E77" s="136">
        <f>E75+E72+E70</f>
        <v>60303.96</v>
      </c>
      <c r="F77" s="136"/>
    </row>
    <row r="78" spans="1:6" x14ac:dyDescent="0.25">
      <c r="A78" s="137" t="s">
        <v>47</v>
      </c>
      <c r="B78" s="138"/>
      <c r="C78" s="138"/>
      <c r="D78" s="138"/>
      <c r="E78" s="138"/>
      <c r="F78" s="139"/>
    </row>
    <row r="79" spans="1:6" x14ac:dyDescent="0.25">
      <c r="A79" s="31" t="s">
        <v>48</v>
      </c>
      <c r="B79" s="31"/>
      <c r="C79" s="132" t="s">
        <v>12</v>
      </c>
      <c r="D79" s="132"/>
      <c r="E79" s="132" t="s">
        <v>2</v>
      </c>
      <c r="F79" s="132"/>
    </row>
    <row r="80" spans="1:6" x14ac:dyDescent="0.25">
      <c r="A80" s="32" t="s">
        <v>49</v>
      </c>
      <c r="B80" s="35">
        <v>7.5999999999999998E-2</v>
      </c>
      <c r="C80" s="133">
        <f>($C$77)*B80/(1-($B$83))</f>
        <v>445.39</v>
      </c>
      <c r="D80" s="133"/>
      <c r="E80" s="133">
        <f>C80*12</f>
        <v>5344.68</v>
      </c>
      <c r="F80" s="133"/>
    </row>
    <row r="81" spans="1:6" x14ac:dyDescent="0.25">
      <c r="A81" s="32" t="s">
        <v>50</v>
      </c>
      <c r="B81" s="35">
        <v>1.6500000000000001E-2</v>
      </c>
      <c r="C81" s="133">
        <f t="shared" ref="C81:C82" si="9">($C$77)*B81/(1-($B$83))</f>
        <v>96.7</v>
      </c>
      <c r="D81" s="133"/>
      <c r="E81" s="133">
        <f t="shared" ref="E81:E82" si="10">C81*12</f>
        <v>1160.4000000000001</v>
      </c>
      <c r="F81" s="133"/>
    </row>
    <row r="82" spans="1:6" x14ac:dyDescent="0.25">
      <c r="A82" s="32" t="s">
        <v>53</v>
      </c>
      <c r="B82" s="35">
        <v>0.05</v>
      </c>
      <c r="C82" s="133">
        <f t="shared" si="9"/>
        <v>293.02</v>
      </c>
      <c r="D82" s="133"/>
      <c r="E82" s="133">
        <f t="shared" si="10"/>
        <v>3516.24</v>
      </c>
      <c r="F82" s="133"/>
    </row>
    <row r="83" spans="1:6" x14ac:dyDescent="0.25">
      <c r="A83" s="33" t="s">
        <v>51</v>
      </c>
      <c r="B83" s="34">
        <f>SUM(B80:B82)</f>
        <v>0.14249999999999999</v>
      </c>
      <c r="C83" s="133">
        <f>SUM(C80:D82)</f>
        <v>835.11</v>
      </c>
      <c r="D83" s="133"/>
      <c r="E83" s="144">
        <f>SUM(E80:F82)</f>
        <v>10021.32</v>
      </c>
      <c r="F83" s="145"/>
    </row>
    <row r="84" spans="1:6" x14ac:dyDescent="0.25">
      <c r="A84" s="146" t="s">
        <v>98</v>
      </c>
      <c r="B84" s="146"/>
      <c r="C84" s="140">
        <f>C72+C75+C83</f>
        <v>1291.69</v>
      </c>
      <c r="D84" s="140"/>
      <c r="E84" s="140">
        <f>C84*12</f>
        <v>15500.28</v>
      </c>
      <c r="F84" s="140"/>
    </row>
    <row r="85" spans="1:6" x14ac:dyDescent="0.25">
      <c r="A85" s="141"/>
      <c r="B85" s="142"/>
      <c r="C85" s="142"/>
      <c r="D85" s="142"/>
      <c r="E85" s="142"/>
      <c r="F85" s="143"/>
    </row>
    <row r="86" spans="1:6" x14ac:dyDescent="0.25">
      <c r="A86" s="148" t="s">
        <v>54</v>
      </c>
      <c r="B86" s="151" t="s">
        <v>12</v>
      </c>
      <c r="C86" s="151"/>
      <c r="D86" s="152" t="s">
        <v>3</v>
      </c>
      <c r="E86" s="153"/>
      <c r="F86" s="154"/>
    </row>
    <row r="87" spans="1:6" x14ac:dyDescent="0.25">
      <c r="A87" s="149"/>
      <c r="B87" s="25" t="s">
        <v>5</v>
      </c>
      <c r="C87" s="26">
        <f>C34</f>
        <v>4283.1899999999996</v>
      </c>
      <c r="D87" s="25" t="s">
        <v>5</v>
      </c>
      <c r="E87" s="155">
        <f>D34</f>
        <v>51398.28</v>
      </c>
      <c r="F87" s="156"/>
    </row>
    <row r="88" spans="1:6" x14ac:dyDescent="0.25">
      <c r="A88" s="149"/>
      <c r="B88" s="25" t="s">
        <v>6</v>
      </c>
      <c r="C88" s="26">
        <f>C53</f>
        <v>285.56</v>
      </c>
      <c r="D88" s="25" t="s">
        <v>6</v>
      </c>
      <c r="E88" s="155">
        <f>D53</f>
        <v>3426.72</v>
      </c>
      <c r="F88" s="156"/>
    </row>
    <row r="89" spans="1:6" x14ac:dyDescent="0.25">
      <c r="A89" s="149"/>
      <c r="B89" s="25" t="s">
        <v>7</v>
      </c>
      <c r="C89" s="26">
        <f>C66</f>
        <v>72.34</v>
      </c>
      <c r="D89" s="25" t="s">
        <v>7</v>
      </c>
      <c r="E89" s="155">
        <f>F66</f>
        <v>868.08</v>
      </c>
      <c r="F89" s="156"/>
    </row>
    <row r="90" spans="1:6" x14ac:dyDescent="0.25">
      <c r="A90" s="149"/>
      <c r="B90" s="25" t="s">
        <v>8</v>
      </c>
      <c r="C90" s="26">
        <f>C84</f>
        <v>1291.69</v>
      </c>
      <c r="D90" s="25" t="s">
        <v>8</v>
      </c>
      <c r="E90" s="155">
        <f>E84</f>
        <v>15500.28</v>
      </c>
      <c r="F90" s="156"/>
    </row>
    <row r="91" spans="1:6" x14ac:dyDescent="0.25">
      <c r="A91" s="150"/>
      <c r="B91" s="24" t="s">
        <v>12</v>
      </c>
      <c r="C91" s="27">
        <f>SUM(C87:C90)</f>
        <v>5932.78</v>
      </c>
      <c r="D91" s="24" t="s">
        <v>42</v>
      </c>
      <c r="E91" s="157">
        <f>SUM(E87:E90)</f>
        <v>71193.36</v>
      </c>
      <c r="F91" s="158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ht="18" x14ac:dyDescent="0.25">
      <c r="A94" s="102" t="s">
        <v>130</v>
      </c>
      <c r="B94" s="103"/>
      <c r="C94" s="103"/>
      <c r="D94" s="104"/>
      <c r="E94" s="102">
        <v>1</v>
      </c>
      <c r="F94" s="104"/>
    </row>
    <row r="95" spans="1:6" ht="18" x14ac:dyDescent="0.25">
      <c r="A95" s="102" t="s">
        <v>131</v>
      </c>
      <c r="B95" s="103"/>
      <c r="C95" s="103"/>
      <c r="D95" s="104"/>
      <c r="E95" s="101">
        <f>C91*E94</f>
        <v>5932.78</v>
      </c>
      <c r="F95" s="101"/>
    </row>
    <row r="96" spans="1:6" ht="18" x14ac:dyDescent="0.25">
      <c r="A96" s="102" t="s">
        <v>132</v>
      </c>
      <c r="B96" s="103"/>
      <c r="C96" s="103"/>
      <c r="D96" s="104"/>
      <c r="E96" s="101">
        <f>E95*12</f>
        <v>71193.36</v>
      </c>
      <c r="F96" s="101"/>
    </row>
  </sheetData>
  <mergeCells count="62">
    <mergeCell ref="A96:D96"/>
    <mergeCell ref="E96:F96"/>
    <mergeCell ref="A94:D94"/>
    <mergeCell ref="E94:F94"/>
    <mergeCell ref="A95:D95"/>
    <mergeCell ref="E95:F95"/>
    <mergeCell ref="A85:F85"/>
    <mergeCell ref="A86:A91"/>
    <mergeCell ref="B86:C86"/>
    <mergeCell ref="D86:F86"/>
    <mergeCell ref="E87:F87"/>
    <mergeCell ref="E88:F88"/>
    <mergeCell ref="E89:F89"/>
    <mergeCell ref="E90:F90"/>
    <mergeCell ref="E91:F91"/>
    <mergeCell ref="C82:D82"/>
    <mergeCell ref="E82:F82"/>
    <mergeCell ref="C83:D83"/>
    <mergeCell ref="E83:F83"/>
    <mergeCell ref="A84:B84"/>
    <mergeCell ref="C84:D84"/>
    <mergeCell ref="E84:F84"/>
    <mergeCell ref="C81:D81"/>
    <mergeCell ref="E81:F81"/>
    <mergeCell ref="C75:D75"/>
    <mergeCell ref="E75:F75"/>
    <mergeCell ref="A76:D76"/>
    <mergeCell ref="A77:B77"/>
    <mergeCell ref="C77:D77"/>
    <mergeCell ref="E77:F77"/>
    <mergeCell ref="A78:F78"/>
    <mergeCell ref="C79:D79"/>
    <mergeCell ref="E79:F79"/>
    <mergeCell ref="C80:D80"/>
    <mergeCell ref="E80:F80"/>
    <mergeCell ref="A73:B74"/>
    <mergeCell ref="C73:D74"/>
    <mergeCell ref="E73:F74"/>
    <mergeCell ref="A66:B66"/>
    <mergeCell ref="D66:E66"/>
    <mergeCell ref="A67:F67"/>
    <mergeCell ref="A68:F68"/>
    <mergeCell ref="A69:B69"/>
    <mergeCell ref="C69:D69"/>
    <mergeCell ref="E69:F69"/>
    <mergeCell ref="A70:B71"/>
    <mergeCell ref="C70:D71"/>
    <mergeCell ref="E70:F71"/>
    <mergeCell ref="C72:D72"/>
    <mergeCell ref="E72:F72"/>
    <mergeCell ref="A57:F57"/>
    <mergeCell ref="A1:E1"/>
    <mergeCell ref="A2:E2"/>
    <mergeCell ref="A3:E3"/>
    <mergeCell ref="C5:C8"/>
    <mergeCell ref="D5:D8"/>
    <mergeCell ref="E5:E8"/>
    <mergeCell ref="A9:D9"/>
    <mergeCell ref="A34:B34"/>
    <mergeCell ref="A36:D36"/>
    <mergeCell ref="A53:B53"/>
    <mergeCell ref="A55:F55"/>
  </mergeCells>
  <pageMargins left="0.511811024" right="0.511811024" top="0.78740157499999996" bottom="0.78740157499999996" header="0.31496062000000002" footer="0.31496062000000002"/>
  <pageSetup paperSize="9" scale="88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656BF-0AA4-4A2D-AD9F-50F71145C466}">
  <sheetPr>
    <pageSetUpPr fitToPage="1"/>
  </sheetPr>
  <dimension ref="A1:F96"/>
  <sheetViews>
    <sheetView workbookViewId="0">
      <selection activeCell="A7" sqref="A7"/>
    </sheetView>
  </sheetViews>
  <sheetFormatPr defaultRowHeight="15" x14ac:dyDescent="0.25"/>
  <cols>
    <col min="1" max="1" width="45.140625" customWidth="1"/>
    <col min="2" max="3" width="12" customWidth="1"/>
    <col min="4" max="4" width="14" customWidth="1"/>
    <col min="5" max="5" width="13.140625" customWidth="1"/>
    <col min="6" max="6" width="15.140625" customWidth="1"/>
  </cols>
  <sheetData>
    <row r="1" spans="1:6" ht="27.75" customHeight="1" x14ac:dyDescent="0.25">
      <c r="A1" s="107" t="s">
        <v>138</v>
      </c>
      <c r="B1" s="108"/>
      <c r="C1" s="108"/>
      <c r="D1" s="108"/>
      <c r="E1" s="109"/>
      <c r="F1" s="1"/>
    </row>
    <row r="2" spans="1:6" x14ac:dyDescent="0.25">
      <c r="A2" s="107" t="s">
        <v>139</v>
      </c>
      <c r="B2" s="108"/>
      <c r="C2" s="108"/>
      <c r="D2" s="108"/>
      <c r="E2" s="109"/>
      <c r="F2" s="1"/>
    </row>
    <row r="3" spans="1:6" x14ac:dyDescent="0.25">
      <c r="A3" s="110" t="s">
        <v>23</v>
      </c>
      <c r="B3" s="110"/>
      <c r="C3" s="110"/>
      <c r="D3" s="110"/>
      <c r="E3" s="110"/>
      <c r="F3" s="1"/>
    </row>
    <row r="4" spans="1:6" ht="24" x14ac:dyDescent="0.25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25">
      <c r="A5" s="4" t="s">
        <v>135</v>
      </c>
      <c r="B5" s="6">
        <f>1764/220*100</f>
        <v>801.82</v>
      </c>
      <c r="C5" s="113">
        <v>1</v>
      </c>
      <c r="D5" s="114">
        <f>SUM(B5:B8)*C5</f>
        <v>1467.02</v>
      </c>
      <c r="E5" s="114">
        <f>D5*12</f>
        <v>17604.240000000002</v>
      </c>
      <c r="F5" s="1"/>
    </row>
    <row r="6" spans="1:6" x14ac:dyDescent="0.25">
      <c r="A6" s="4" t="s">
        <v>112</v>
      </c>
      <c r="B6" s="6">
        <v>0</v>
      </c>
      <c r="C6" s="113"/>
      <c r="D6" s="114"/>
      <c r="E6" s="114"/>
      <c r="F6" s="1"/>
    </row>
    <row r="7" spans="1:6" ht="24" x14ac:dyDescent="0.25">
      <c r="A7" s="4" t="s">
        <v>175</v>
      </c>
      <c r="B7" s="6">
        <v>58</v>
      </c>
      <c r="C7" s="113"/>
      <c r="D7" s="114"/>
      <c r="E7" s="114"/>
      <c r="F7" s="1"/>
    </row>
    <row r="8" spans="1:6" x14ac:dyDescent="0.25">
      <c r="A8" s="65" t="s">
        <v>176</v>
      </c>
      <c r="B8" s="63">
        <f>1518*40%</f>
        <v>607.20000000000005</v>
      </c>
      <c r="C8" s="113"/>
      <c r="D8" s="114"/>
      <c r="E8" s="114"/>
      <c r="F8" s="1"/>
    </row>
    <row r="9" spans="1:6" x14ac:dyDescent="0.25">
      <c r="A9" s="111"/>
      <c r="B9" s="112"/>
      <c r="C9" s="112"/>
      <c r="D9" s="112"/>
      <c r="E9" s="53"/>
      <c r="F9" s="1"/>
    </row>
    <row r="10" spans="1:6" ht="24" x14ac:dyDescent="0.25">
      <c r="A10" s="8" t="s">
        <v>13</v>
      </c>
      <c r="B10" s="15" t="s">
        <v>1</v>
      </c>
      <c r="C10" s="15" t="s">
        <v>12</v>
      </c>
      <c r="D10" s="15" t="s">
        <v>2</v>
      </c>
      <c r="E10" s="40"/>
      <c r="F10" s="1"/>
    </row>
    <row r="11" spans="1:6" x14ac:dyDescent="0.25">
      <c r="A11" s="4" t="s">
        <v>20</v>
      </c>
      <c r="B11" s="5">
        <v>8.3299999999999999E-2</v>
      </c>
      <c r="C11" s="6">
        <f>B11*$D$5</f>
        <v>122.2</v>
      </c>
      <c r="D11" s="6">
        <f>B11*$E$5</f>
        <v>1466.43</v>
      </c>
      <c r="E11" s="54"/>
      <c r="F11" s="37"/>
    </row>
    <row r="12" spans="1:6" ht="36" x14ac:dyDescent="0.25">
      <c r="A12" s="4" t="s">
        <v>102</v>
      </c>
      <c r="B12" s="5">
        <v>2.7799999999999998E-2</v>
      </c>
      <c r="C12" s="6">
        <f>B12*$D$5</f>
        <v>40.78</v>
      </c>
      <c r="D12" s="6">
        <f>B12*$E$5</f>
        <v>489.4</v>
      </c>
      <c r="E12" s="37"/>
      <c r="F12" s="37"/>
    </row>
    <row r="13" spans="1:6" x14ac:dyDescent="0.25">
      <c r="A13" s="15" t="s">
        <v>14</v>
      </c>
      <c r="B13" s="16">
        <f>SUM(B11:B12)</f>
        <v>0.1111</v>
      </c>
      <c r="C13" s="17">
        <f>SUM(C11:C12)</f>
        <v>162.97999999999999</v>
      </c>
      <c r="D13" s="17">
        <f>C13*12</f>
        <v>1955.76</v>
      </c>
      <c r="E13" s="40"/>
      <c r="F13" s="40"/>
    </row>
    <row r="14" spans="1:6" x14ac:dyDescent="0.25">
      <c r="A14" s="52"/>
      <c r="B14" s="52"/>
      <c r="C14" s="52"/>
      <c r="D14" s="55"/>
      <c r="E14" s="53"/>
      <c r="F14" s="53"/>
    </row>
    <row r="15" spans="1:6" ht="24" x14ac:dyDescent="0.25">
      <c r="A15" s="8" t="s">
        <v>15</v>
      </c>
      <c r="B15" s="15" t="s">
        <v>1</v>
      </c>
      <c r="C15" s="15" t="s">
        <v>12</v>
      </c>
      <c r="D15" s="15" t="s">
        <v>2</v>
      </c>
      <c r="E15" s="37"/>
      <c r="F15" s="37"/>
    </row>
    <row r="16" spans="1:6" x14ac:dyDescent="0.25">
      <c r="A16" s="4" t="s">
        <v>21</v>
      </c>
      <c r="B16" s="5">
        <v>0.2</v>
      </c>
      <c r="C16" s="6">
        <f t="shared" ref="C16:C23" si="0">B16*$D$5</f>
        <v>293.39999999999998</v>
      </c>
      <c r="D16" s="6">
        <f t="shared" ref="D16:D23" si="1">B16*$E$5</f>
        <v>3520.85</v>
      </c>
      <c r="E16" s="54"/>
      <c r="F16" s="37"/>
    </row>
    <row r="17" spans="1:6" x14ac:dyDescent="0.25">
      <c r="A17" s="4" t="s">
        <v>57</v>
      </c>
      <c r="B17" s="5">
        <v>2.5000000000000001E-2</v>
      </c>
      <c r="C17" s="6">
        <f t="shared" si="0"/>
        <v>36.68</v>
      </c>
      <c r="D17" s="6">
        <f t="shared" si="1"/>
        <v>440.11</v>
      </c>
      <c r="E17" s="37"/>
      <c r="F17" s="37"/>
    </row>
    <row r="18" spans="1:6" x14ac:dyDescent="0.25">
      <c r="A18" s="4" t="s">
        <v>58</v>
      </c>
      <c r="B18" s="5">
        <v>0.03</v>
      </c>
      <c r="C18" s="6">
        <f t="shared" si="0"/>
        <v>44.01</v>
      </c>
      <c r="D18" s="6">
        <f t="shared" si="1"/>
        <v>528.13</v>
      </c>
      <c r="E18" s="37"/>
      <c r="F18" s="37"/>
    </row>
    <row r="19" spans="1:6" x14ac:dyDescent="0.25">
      <c r="A19" s="4" t="s">
        <v>59</v>
      </c>
      <c r="B19" s="5">
        <v>1.4999999999999999E-2</v>
      </c>
      <c r="C19" s="6">
        <f t="shared" si="0"/>
        <v>22.01</v>
      </c>
      <c r="D19" s="6">
        <f t="shared" si="1"/>
        <v>264.06</v>
      </c>
      <c r="E19" s="37"/>
      <c r="F19" s="37"/>
    </row>
    <row r="20" spans="1:6" x14ac:dyDescent="0.25">
      <c r="A20" s="4" t="s">
        <v>60</v>
      </c>
      <c r="B20" s="5">
        <v>0.01</v>
      </c>
      <c r="C20" s="6">
        <f t="shared" si="0"/>
        <v>14.67</v>
      </c>
      <c r="D20" s="6">
        <f t="shared" si="1"/>
        <v>176.04</v>
      </c>
      <c r="E20" s="37"/>
      <c r="F20" s="37"/>
    </row>
    <row r="21" spans="1:6" x14ac:dyDescent="0.25">
      <c r="A21" s="4" t="s">
        <v>61</v>
      </c>
      <c r="B21" s="5">
        <v>6.0000000000000001E-3</v>
      </c>
      <c r="C21" s="6">
        <f t="shared" si="0"/>
        <v>8.8000000000000007</v>
      </c>
      <c r="D21" s="6">
        <f t="shared" si="1"/>
        <v>105.63</v>
      </c>
      <c r="E21" s="37"/>
      <c r="F21" s="37"/>
    </row>
    <row r="22" spans="1:6" x14ac:dyDescent="0.25">
      <c r="A22" s="4" t="s">
        <v>62</v>
      </c>
      <c r="B22" s="5">
        <v>2E-3</v>
      </c>
      <c r="C22" s="6">
        <f t="shared" si="0"/>
        <v>2.93</v>
      </c>
      <c r="D22" s="6">
        <f t="shared" si="1"/>
        <v>35.21</v>
      </c>
      <c r="E22" s="37"/>
      <c r="F22" s="37"/>
    </row>
    <row r="23" spans="1:6" x14ac:dyDescent="0.25">
      <c r="A23" s="4" t="s">
        <v>63</v>
      </c>
      <c r="B23" s="5">
        <v>0.08</v>
      </c>
      <c r="C23" s="6">
        <f t="shared" si="0"/>
        <v>117.36</v>
      </c>
      <c r="D23" s="6">
        <f t="shared" si="1"/>
        <v>1408.34</v>
      </c>
      <c r="E23" s="37"/>
      <c r="F23" s="37"/>
    </row>
    <row r="24" spans="1:6" x14ac:dyDescent="0.25">
      <c r="A24" s="15" t="s">
        <v>16</v>
      </c>
      <c r="B24" s="16">
        <f>SUM(B16:B23)</f>
        <v>0.36799999999999999</v>
      </c>
      <c r="C24" s="17">
        <f>SUM(C16:C23)</f>
        <v>539.86</v>
      </c>
      <c r="D24" s="17">
        <f>C24*12</f>
        <v>6478.32</v>
      </c>
      <c r="E24" s="40"/>
      <c r="F24" s="40"/>
    </row>
    <row r="25" spans="1:6" x14ac:dyDescent="0.25">
      <c r="A25" s="53"/>
      <c r="B25" s="53"/>
      <c r="C25" s="53"/>
      <c r="D25" s="53"/>
      <c r="E25" s="53"/>
      <c r="F25" s="53"/>
    </row>
    <row r="26" spans="1:6" ht="24" x14ac:dyDescent="0.25">
      <c r="A26" s="8" t="s">
        <v>94</v>
      </c>
      <c r="B26" s="15" t="s">
        <v>22</v>
      </c>
      <c r="C26" s="15" t="s">
        <v>12</v>
      </c>
      <c r="D26" s="15" t="s">
        <v>2</v>
      </c>
      <c r="E26" s="41"/>
      <c r="F26" s="1"/>
    </row>
    <row r="27" spans="1:6" ht="24" x14ac:dyDescent="0.25">
      <c r="A27" s="4" t="s">
        <v>93</v>
      </c>
      <c r="B27" s="60">
        <f>(3.8*24*2)-B5*0.06</f>
        <v>134.29</v>
      </c>
      <c r="C27" s="6">
        <f t="shared" ref="C27:C28" si="2">B27*(SUM($C$5:$C$5))</f>
        <v>134.29</v>
      </c>
      <c r="D27" s="6">
        <f>C27*12</f>
        <v>1611.48</v>
      </c>
      <c r="E27" s="41"/>
      <c r="F27" s="1"/>
    </row>
    <row r="28" spans="1:6" x14ac:dyDescent="0.25">
      <c r="A28" s="4" t="s">
        <v>17</v>
      </c>
      <c r="B28" s="60">
        <f>805*80%</f>
        <v>644</v>
      </c>
      <c r="C28" s="6">
        <f t="shared" si="2"/>
        <v>644</v>
      </c>
      <c r="D28" s="6">
        <f t="shared" ref="D28:D31" si="3">C28*12</f>
        <v>7728</v>
      </c>
      <c r="E28" s="41"/>
      <c r="F28" s="37"/>
    </row>
    <row r="29" spans="1:6" x14ac:dyDescent="0.25">
      <c r="A29" s="4" t="s">
        <v>18</v>
      </c>
      <c r="B29" s="60">
        <v>87.5</v>
      </c>
      <c r="C29" s="6">
        <v>87.5</v>
      </c>
      <c r="D29" s="6">
        <f t="shared" si="3"/>
        <v>1050</v>
      </c>
      <c r="E29" s="41"/>
      <c r="F29" s="37"/>
    </row>
    <row r="30" spans="1:6" x14ac:dyDescent="0.25">
      <c r="A30" s="4" t="s">
        <v>19</v>
      </c>
      <c r="B30" s="60">
        <v>28</v>
      </c>
      <c r="C30" s="6">
        <v>28</v>
      </c>
      <c r="D30" s="6">
        <f t="shared" si="3"/>
        <v>336</v>
      </c>
      <c r="E30" s="41"/>
      <c r="F30" s="37"/>
    </row>
    <row r="31" spans="1:6" x14ac:dyDescent="0.25">
      <c r="A31" s="61" t="s">
        <v>91</v>
      </c>
      <c r="B31" s="62">
        <v>28</v>
      </c>
      <c r="C31" s="63">
        <v>28</v>
      </c>
      <c r="D31" s="64">
        <f t="shared" si="3"/>
        <v>336</v>
      </c>
      <c r="E31" s="41"/>
      <c r="F31" s="40"/>
    </row>
    <row r="32" spans="1:6" x14ac:dyDescent="0.25">
      <c r="A32" s="65" t="s">
        <v>88</v>
      </c>
      <c r="B32" s="66">
        <f>(805*80%)</f>
        <v>644</v>
      </c>
      <c r="C32" s="69">
        <f>B32/12</f>
        <v>53.667000000000002</v>
      </c>
      <c r="D32" s="63">
        <f>C32*12</f>
        <v>644</v>
      </c>
      <c r="E32" s="41"/>
      <c r="F32" s="40"/>
    </row>
    <row r="33" spans="1:6" x14ac:dyDescent="0.25">
      <c r="A33" s="67" t="s">
        <v>89</v>
      </c>
      <c r="B33" s="68">
        <f>SUM(B27:B32)</f>
        <v>1565.79</v>
      </c>
      <c r="C33" s="68">
        <f>SUM(C27:C32)</f>
        <v>975.46</v>
      </c>
      <c r="D33" s="68">
        <f>C33*12</f>
        <v>11705.52</v>
      </c>
      <c r="E33" s="40"/>
      <c r="F33" s="40"/>
    </row>
    <row r="34" spans="1:6" ht="23.25" customHeight="1" x14ac:dyDescent="0.25">
      <c r="A34" s="105" t="s">
        <v>4</v>
      </c>
      <c r="B34" s="106"/>
      <c r="C34" s="48">
        <f>D5+C13+C24+C33</f>
        <v>3145.32</v>
      </c>
      <c r="D34" s="48">
        <f>SUM(E5+D13+D24+D33)</f>
        <v>37743.839999999997</v>
      </c>
      <c r="E34" s="40"/>
      <c r="F34" s="40"/>
    </row>
    <row r="35" spans="1:6" x14ac:dyDescent="0.25">
      <c r="A35" s="40"/>
      <c r="B35" s="40"/>
      <c r="C35" s="40"/>
      <c r="D35" s="40"/>
      <c r="E35" s="40"/>
      <c r="F35" s="40"/>
    </row>
    <row r="36" spans="1:6" x14ac:dyDescent="0.25">
      <c r="A36" s="115" t="s">
        <v>31</v>
      </c>
      <c r="B36" s="115"/>
      <c r="C36" s="115"/>
      <c r="D36" s="115"/>
      <c r="E36" s="40"/>
      <c r="F36" s="40"/>
    </row>
    <row r="37" spans="1:6" ht="24" x14ac:dyDescent="0.25">
      <c r="A37" s="18" t="s">
        <v>30</v>
      </c>
      <c r="B37" s="19" t="s">
        <v>1</v>
      </c>
      <c r="C37" s="19" t="s">
        <v>12</v>
      </c>
      <c r="D37" s="19" t="s">
        <v>2</v>
      </c>
      <c r="E37" s="40"/>
      <c r="F37" s="40"/>
    </row>
    <row r="38" spans="1:6" x14ac:dyDescent="0.25">
      <c r="A38" s="10" t="s">
        <v>24</v>
      </c>
      <c r="B38" s="13">
        <v>4.1999999999999997E-3</v>
      </c>
      <c r="C38" s="11">
        <f t="shared" ref="C38:C43" si="4">B38*$D$5</f>
        <v>6.16</v>
      </c>
      <c r="D38" s="11">
        <f t="shared" ref="D38:D43" si="5">B38*$E$5</f>
        <v>73.94</v>
      </c>
      <c r="E38" s="37"/>
      <c r="F38" s="1"/>
    </row>
    <row r="39" spans="1:6" x14ac:dyDescent="0.25">
      <c r="A39" s="10" t="s">
        <v>25</v>
      </c>
      <c r="B39" s="14">
        <v>3.3E-4</v>
      </c>
      <c r="C39" s="11">
        <f t="shared" si="4"/>
        <v>0.48</v>
      </c>
      <c r="D39" s="11">
        <f t="shared" si="5"/>
        <v>5.81</v>
      </c>
      <c r="E39" s="37"/>
      <c r="F39" s="1"/>
    </row>
    <row r="40" spans="1:6" x14ac:dyDescent="0.25">
      <c r="A40" s="10" t="s">
        <v>26</v>
      </c>
      <c r="B40" s="14">
        <v>1.6000000000000001E-4</v>
      </c>
      <c r="C40" s="11">
        <f t="shared" si="4"/>
        <v>0.23</v>
      </c>
      <c r="D40" s="11">
        <f t="shared" si="5"/>
        <v>2.82</v>
      </c>
      <c r="E40" s="37"/>
      <c r="F40" s="1"/>
    </row>
    <row r="41" spans="1:6" x14ac:dyDescent="0.25">
      <c r="A41" s="10" t="s">
        <v>27</v>
      </c>
      <c r="B41" s="13">
        <v>1.9400000000000001E-2</v>
      </c>
      <c r="C41" s="11">
        <f t="shared" si="4"/>
        <v>28.46</v>
      </c>
      <c r="D41" s="11">
        <f t="shared" si="5"/>
        <v>341.52</v>
      </c>
      <c r="E41" s="37"/>
      <c r="F41" s="1"/>
    </row>
    <row r="42" spans="1:6" ht="24" x14ac:dyDescent="0.25">
      <c r="A42" s="10" t="s">
        <v>28</v>
      </c>
      <c r="B42" s="13">
        <f>B41*B24</f>
        <v>7.1000000000000004E-3</v>
      </c>
      <c r="C42" s="11">
        <f t="shared" si="4"/>
        <v>10.42</v>
      </c>
      <c r="D42" s="11">
        <f t="shared" si="5"/>
        <v>124.99</v>
      </c>
      <c r="E42" s="37"/>
      <c r="F42" s="1"/>
    </row>
    <row r="43" spans="1:6" x14ac:dyDescent="0.25">
      <c r="A43" s="10" t="s">
        <v>29</v>
      </c>
      <c r="B43" s="14">
        <v>7.6999999999999996E-4</v>
      </c>
      <c r="C43" s="11">
        <f t="shared" si="4"/>
        <v>1.1299999999999999</v>
      </c>
      <c r="D43" s="11">
        <f t="shared" si="5"/>
        <v>13.56</v>
      </c>
      <c r="E43" s="37"/>
      <c r="F43" s="1"/>
    </row>
    <row r="44" spans="1:6" x14ac:dyDescent="0.25">
      <c r="A44" s="19" t="s">
        <v>38</v>
      </c>
      <c r="B44" s="20">
        <f>SUM(B38:B43)</f>
        <v>3.2000000000000001E-2</v>
      </c>
      <c r="C44" s="21">
        <f>SUM(C38:C43)</f>
        <v>46.88</v>
      </c>
      <c r="D44" s="21">
        <f>C44*12</f>
        <v>562.55999999999995</v>
      </c>
      <c r="E44" s="40"/>
      <c r="F44" s="40"/>
    </row>
    <row r="45" spans="1:6" x14ac:dyDescent="0.25">
      <c r="A45" s="49"/>
      <c r="B45" s="50"/>
      <c r="C45" s="50"/>
      <c r="D45" s="50"/>
      <c r="E45" s="40"/>
      <c r="F45" s="40"/>
    </row>
    <row r="46" spans="1:6" ht="24" x14ac:dyDescent="0.25">
      <c r="A46" s="18" t="s">
        <v>32</v>
      </c>
      <c r="B46" s="19" t="s">
        <v>1</v>
      </c>
      <c r="C46" s="19" t="s">
        <v>12</v>
      </c>
      <c r="D46" s="19" t="s">
        <v>2</v>
      </c>
      <c r="E46" s="39"/>
      <c r="F46" s="39"/>
    </row>
    <row r="47" spans="1:6" x14ac:dyDescent="0.25">
      <c r="A47" s="10" t="s">
        <v>33</v>
      </c>
      <c r="B47" s="13">
        <v>8.3299999999999999E-2</v>
      </c>
      <c r="C47" s="11">
        <f>B47*$D$5</f>
        <v>122.2</v>
      </c>
      <c r="D47" s="11">
        <f>B47*$E$5</f>
        <v>1466.43</v>
      </c>
      <c r="E47" s="37"/>
      <c r="F47" s="37"/>
    </row>
    <row r="48" spans="1:6" x14ac:dyDescent="0.25">
      <c r="A48" s="10" t="s">
        <v>34</v>
      </c>
      <c r="B48" s="13">
        <v>8.0000000000000004E-4</v>
      </c>
      <c r="C48" s="11">
        <f>B48*$D$5</f>
        <v>1.17</v>
      </c>
      <c r="D48" s="11">
        <f>B48*$E$5</f>
        <v>14.08</v>
      </c>
      <c r="E48" s="37"/>
      <c r="F48" s="37"/>
    </row>
    <row r="49" spans="1:6" ht="24" x14ac:dyDescent="0.25">
      <c r="A49" s="10" t="s">
        <v>35</v>
      </c>
      <c r="B49" s="13">
        <v>2.9999999999999997E-4</v>
      </c>
      <c r="C49" s="11">
        <f>B49*$D$5</f>
        <v>0.44</v>
      </c>
      <c r="D49" s="11">
        <f>B49*$E$5</f>
        <v>5.28</v>
      </c>
      <c r="E49" s="37"/>
      <c r="F49" s="37"/>
    </row>
    <row r="50" spans="1:6" ht="24" x14ac:dyDescent="0.25">
      <c r="A50" s="10" t="s">
        <v>36</v>
      </c>
      <c r="B50" s="13">
        <v>1.2999999999999999E-3</v>
      </c>
      <c r="C50" s="11">
        <f>B50*$D$5</f>
        <v>1.91</v>
      </c>
      <c r="D50" s="11">
        <f>B50*$E$5</f>
        <v>22.89</v>
      </c>
      <c r="E50" s="37"/>
      <c r="F50" s="37"/>
    </row>
    <row r="51" spans="1:6" x14ac:dyDescent="0.25">
      <c r="A51" s="10" t="s">
        <v>37</v>
      </c>
      <c r="B51" s="13">
        <v>8.2000000000000007E-3</v>
      </c>
      <c r="C51" s="11">
        <f>B51*$D$5</f>
        <v>12.03</v>
      </c>
      <c r="D51" s="11">
        <f>B51*$E$5</f>
        <v>144.35</v>
      </c>
      <c r="E51" s="37"/>
      <c r="F51" s="37"/>
    </row>
    <row r="52" spans="1:6" x14ac:dyDescent="0.25">
      <c r="A52" s="19" t="s">
        <v>39</v>
      </c>
      <c r="B52" s="20">
        <f>SUM(B47:B51)</f>
        <v>9.3899999999999997E-2</v>
      </c>
      <c r="C52" s="21">
        <f>SUM(C47:C51)</f>
        <v>137.75</v>
      </c>
      <c r="D52" s="21">
        <f>C52*12</f>
        <v>1653</v>
      </c>
      <c r="E52" s="39"/>
      <c r="F52" s="39"/>
    </row>
    <row r="53" spans="1:6" ht="29.25" customHeight="1" x14ac:dyDescent="0.25">
      <c r="A53" s="116" t="s">
        <v>40</v>
      </c>
      <c r="B53" s="117"/>
      <c r="C53" s="46">
        <f>SUM(C44+C52)</f>
        <v>184.63</v>
      </c>
      <c r="D53" s="47">
        <f>SUM(D44+D52)</f>
        <v>2215.56</v>
      </c>
      <c r="E53" s="39"/>
      <c r="F53" s="39"/>
    </row>
    <row r="54" spans="1:6" x14ac:dyDescent="0.25">
      <c r="A54" s="49"/>
      <c r="B54" s="50"/>
      <c r="C54" s="50"/>
      <c r="D54" s="50"/>
      <c r="E54" s="51"/>
      <c r="F54" s="51"/>
    </row>
    <row r="55" spans="1:6" x14ac:dyDescent="0.25">
      <c r="A55" s="118" t="s">
        <v>115</v>
      </c>
      <c r="B55" s="119"/>
      <c r="C55" s="119"/>
      <c r="D55" s="119"/>
      <c r="E55" s="119"/>
      <c r="F55" s="120"/>
    </row>
    <row r="56" spans="1:6" ht="24" x14ac:dyDescent="0.25">
      <c r="A56" s="22" t="s">
        <v>116</v>
      </c>
      <c r="B56" s="23" t="s">
        <v>90</v>
      </c>
      <c r="C56" s="23" t="s">
        <v>104</v>
      </c>
      <c r="D56" s="23" t="s">
        <v>0</v>
      </c>
      <c r="E56" s="23" t="s">
        <v>12</v>
      </c>
      <c r="F56" s="23" t="s">
        <v>2</v>
      </c>
    </row>
    <row r="57" spans="1:6" x14ac:dyDescent="0.25">
      <c r="A57" s="121" t="s">
        <v>95</v>
      </c>
      <c r="B57" s="122"/>
      <c r="C57" s="122"/>
      <c r="D57" s="122"/>
      <c r="E57" s="122"/>
      <c r="F57" s="123"/>
    </row>
    <row r="58" spans="1:6" x14ac:dyDescent="0.25">
      <c r="A58" s="9" t="s">
        <v>117</v>
      </c>
      <c r="B58" s="2">
        <v>2</v>
      </c>
      <c r="C58" s="45">
        <f>B58*$C$5</f>
        <v>2</v>
      </c>
      <c r="D58" s="58">
        <v>49.1</v>
      </c>
      <c r="E58" s="3">
        <f>D58*C58/12</f>
        <v>8.18</v>
      </c>
      <c r="F58" s="3">
        <f>D58*C58</f>
        <v>98.2</v>
      </c>
    </row>
    <row r="59" spans="1:6" x14ac:dyDescent="0.25">
      <c r="A59" s="9" t="s">
        <v>118</v>
      </c>
      <c r="B59" s="2">
        <v>2</v>
      </c>
      <c r="C59" s="45">
        <f t="shared" ref="C59:C65" si="6">B59*$C$5</f>
        <v>2</v>
      </c>
      <c r="D59" s="58">
        <v>19.899999999999999</v>
      </c>
      <c r="E59" s="3">
        <f>D59*C59/12</f>
        <v>3.32</v>
      </c>
      <c r="F59" s="3">
        <f t="shared" ref="F59:F65" si="7">D59*C59</f>
        <v>39.799999999999997</v>
      </c>
    </row>
    <row r="60" spans="1:6" x14ac:dyDescent="0.25">
      <c r="A60" s="9" t="s">
        <v>119</v>
      </c>
      <c r="B60" s="2">
        <v>2</v>
      </c>
      <c r="C60" s="45">
        <f t="shared" si="6"/>
        <v>2</v>
      </c>
      <c r="D60" s="58">
        <v>65.38</v>
      </c>
      <c r="E60" s="3">
        <f t="shared" ref="E60:E65" si="8">D60*C60/12</f>
        <v>10.9</v>
      </c>
      <c r="F60" s="3">
        <f t="shared" si="7"/>
        <v>130.76</v>
      </c>
    </row>
    <row r="61" spans="1:6" x14ac:dyDescent="0.25">
      <c r="A61" s="9" t="s">
        <v>120</v>
      </c>
      <c r="B61" s="2">
        <v>2</v>
      </c>
      <c r="C61" s="45">
        <f t="shared" si="6"/>
        <v>2</v>
      </c>
      <c r="D61" s="58">
        <v>27.85</v>
      </c>
      <c r="E61" s="3">
        <f t="shared" si="8"/>
        <v>4.6399999999999997</v>
      </c>
      <c r="F61" s="3">
        <f t="shared" si="7"/>
        <v>55.7</v>
      </c>
    </row>
    <row r="62" spans="1:6" x14ac:dyDescent="0.25">
      <c r="A62" s="9" t="s">
        <v>121</v>
      </c>
      <c r="B62" s="2">
        <v>24</v>
      </c>
      <c r="C62" s="45">
        <f t="shared" si="6"/>
        <v>24</v>
      </c>
      <c r="D62" s="58">
        <v>12.9</v>
      </c>
      <c r="E62" s="3">
        <f t="shared" si="8"/>
        <v>25.8</v>
      </c>
      <c r="F62" s="3">
        <f t="shared" si="7"/>
        <v>309.60000000000002</v>
      </c>
    </row>
    <row r="63" spans="1:6" x14ac:dyDescent="0.25">
      <c r="A63" s="9" t="s">
        <v>122</v>
      </c>
      <c r="B63" s="2">
        <v>2</v>
      </c>
      <c r="C63" s="45">
        <f t="shared" si="6"/>
        <v>2</v>
      </c>
      <c r="D63" s="59">
        <v>73</v>
      </c>
      <c r="E63" s="3">
        <f t="shared" si="8"/>
        <v>12.17</v>
      </c>
      <c r="F63" s="3">
        <f t="shared" si="7"/>
        <v>146</v>
      </c>
    </row>
    <row r="64" spans="1:6" x14ac:dyDescent="0.25">
      <c r="A64" s="9" t="s">
        <v>123</v>
      </c>
      <c r="B64" s="2">
        <v>1</v>
      </c>
      <c r="C64" s="45">
        <f t="shared" si="6"/>
        <v>1</v>
      </c>
      <c r="D64" s="58">
        <v>37.9</v>
      </c>
      <c r="E64" s="3">
        <f t="shared" si="8"/>
        <v>3.16</v>
      </c>
      <c r="F64" s="3">
        <f t="shared" si="7"/>
        <v>37.9</v>
      </c>
    </row>
    <row r="65" spans="1:6" x14ac:dyDescent="0.25">
      <c r="A65" s="9" t="s">
        <v>124</v>
      </c>
      <c r="B65" s="2">
        <v>2</v>
      </c>
      <c r="C65" s="45">
        <f t="shared" si="6"/>
        <v>2</v>
      </c>
      <c r="D65" s="58">
        <v>25.02</v>
      </c>
      <c r="E65" s="3">
        <f t="shared" si="8"/>
        <v>4.17</v>
      </c>
      <c r="F65" s="3">
        <f t="shared" si="7"/>
        <v>50.04</v>
      </c>
    </row>
    <row r="66" spans="1:6" x14ac:dyDescent="0.25">
      <c r="A66" s="124" t="s">
        <v>96</v>
      </c>
      <c r="B66" s="124"/>
      <c r="C66" s="57">
        <f>SUM(E58:E65)</f>
        <v>72.34</v>
      </c>
      <c r="D66" s="125" t="s">
        <v>3</v>
      </c>
      <c r="E66" s="125"/>
      <c r="F66" s="56">
        <f>C66*12</f>
        <v>868.08</v>
      </c>
    </row>
    <row r="67" spans="1:6" x14ac:dyDescent="0.25">
      <c r="A67" s="127"/>
      <c r="B67" s="127"/>
      <c r="C67" s="127"/>
      <c r="D67" s="127"/>
      <c r="E67" s="127"/>
      <c r="F67" s="127"/>
    </row>
    <row r="68" spans="1:6" x14ac:dyDescent="0.25">
      <c r="A68" s="126" t="s">
        <v>97</v>
      </c>
      <c r="B68" s="126"/>
      <c r="C68" s="126"/>
      <c r="D68" s="126"/>
      <c r="E68" s="126"/>
      <c r="F68" s="126"/>
    </row>
    <row r="69" spans="1:6" x14ac:dyDescent="0.25">
      <c r="A69" s="128" t="s">
        <v>41</v>
      </c>
      <c r="B69" s="128" t="s">
        <v>43</v>
      </c>
      <c r="C69" s="129" t="s">
        <v>12</v>
      </c>
      <c r="D69" s="129"/>
      <c r="E69" s="129" t="s">
        <v>2</v>
      </c>
      <c r="F69" s="129"/>
    </row>
    <row r="70" spans="1:6" x14ac:dyDescent="0.25">
      <c r="A70" s="130" t="s">
        <v>99</v>
      </c>
      <c r="B70" s="130"/>
      <c r="C70" s="131">
        <f>SUM(C34,C53)</f>
        <v>3329.95</v>
      </c>
      <c r="D70" s="131"/>
      <c r="E70" s="131">
        <f>C70*12</f>
        <v>39959.4</v>
      </c>
      <c r="F70" s="131"/>
    </row>
    <row r="71" spans="1:6" x14ac:dyDescent="0.25">
      <c r="A71" s="130"/>
      <c r="B71" s="130"/>
      <c r="C71" s="131"/>
      <c r="D71" s="131"/>
      <c r="E71" s="131"/>
      <c r="F71" s="131"/>
    </row>
    <row r="72" spans="1:6" x14ac:dyDescent="0.25">
      <c r="A72" s="28" t="s">
        <v>52</v>
      </c>
      <c r="B72" s="35">
        <v>0.03</v>
      </c>
      <c r="C72" s="133">
        <f>C70*B72</f>
        <v>99.9</v>
      </c>
      <c r="D72" s="133"/>
      <c r="E72" s="133">
        <f>C72*12</f>
        <v>1198.8</v>
      </c>
      <c r="F72" s="133"/>
    </row>
    <row r="73" spans="1:6" x14ac:dyDescent="0.25">
      <c r="A73" s="134" t="s">
        <v>100</v>
      </c>
      <c r="B73" s="134"/>
      <c r="C73" s="131">
        <f>C70+C72</f>
        <v>3429.85</v>
      </c>
      <c r="D73" s="131"/>
      <c r="E73" s="131">
        <f>E70+E72</f>
        <v>41158.199999999997</v>
      </c>
      <c r="F73" s="131"/>
    </row>
    <row r="74" spans="1:6" x14ac:dyDescent="0.25">
      <c r="A74" s="134"/>
      <c r="B74" s="134"/>
      <c r="C74" s="131"/>
      <c r="D74" s="131"/>
      <c r="E74" s="131"/>
      <c r="F74" s="131"/>
    </row>
    <row r="75" spans="1:6" x14ac:dyDescent="0.25">
      <c r="A75" s="28" t="s">
        <v>44</v>
      </c>
      <c r="B75" s="35">
        <v>6.7900000000000002E-2</v>
      </c>
      <c r="C75" s="133">
        <f>C73*B75</f>
        <v>232.89</v>
      </c>
      <c r="D75" s="133"/>
      <c r="E75" s="133">
        <f>C75*12</f>
        <v>2794.68</v>
      </c>
      <c r="F75" s="133"/>
    </row>
    <row r="76" spans="1:6" x14ac:dyDescent="0.25">
      <c r="A76" s="135" t="s">
        <v>45</v>
      </c>
      <c r="B76" s="135"/>
      <c r="C76" s="135"/>
      <c r="D76" s="135"/>
      <c r="E76" s="29"/>
      <c r="F76" s="30"/>
    </row>
    <row r="77" spans="1:6" x14ac:dyDescent="0.25">
      <c r="A77" s="130" t="s">
        <v>46</v>
      </c>
      <c r="B77" s="130"/>
      <c r="C77" s="136">
        <f>C75+C72+C70</f>
        <v>3662.74</v>
      </c>
      <c r="D77" s="136"/>
      <c r="E77" s="136">
        <f>E75+E72+E70</f>
        <v>43952.88</v>
      </c>
      <c r="F77" s="136"/>
    </row>
    <row r="78" spans="1:6" x14ac:dyDescent="0.25">
      <c r="A78" s="137" t="s">
        <v>47</v>
      </c>
      <c r="B78" s="138"/>
      <c r="C78" s="138"/>
      <c r="D78" s="138"/>
      <c r="E78" s="138"/>
      <c r="F78" s="139"/>
    </row>
    <row r="79" spans="1:6" x14ac:dyDescent="0.25">
      <c r="A79" s="31" t="s">
        <v>48</v>
      </c>
      <c r="B79" s="31"/>
      <c r="C79" s="132" t="s">
        <v>12</v>
      </c>
      <c r="D79" s="132"/>
      <c r="E79" s="132" t="s">
        <v>2</v>
      </c>
      <c r="F79" s="132"/>
    </row>
    <row r="80" spans="1:6" x14ac:dyDescent="0.25">
      <c r="A80" s="32" t="s">
        <v>49</v>
      </c>
      <c r="B80" s="35">
        <v>7.5999999999999998E-2</v>
      </c>
      <c r="C80" s="133">
        <f>($C$77)*B80/(1-($B$83))</f>
        <v>324.63</v>
      </c>
      <c r="D80" s="133"/>
      <c r="E80" s="133">
        <f>C80*12</f>
        <v>3895.56</v>
      </c>
      <c r="F80" s="133"/>
    </row>
    <row r="81" spans="1:6" x14ac:dyDescent="0.25">
      <c r="A81" s="32" t="s">
        <v>50</v>
      </c>
      <c r="B81" s="35">
        <v>1.6500000000000001E-2</v>
      </c>
      <c r="C81" s="133">
        <f t="shared" ref="C81:C82" si="9">($C$77)*B81/(1-($B$83))</f>
        <v>70.48</v>
      </c>
      <c r="D81" s="133"/>
      <c r="E81" s="133">
        <f t="shared" ref="E81:E82" si="10">C81*12</f>
        <v>845.76</v>
      </c>
      <c r="F81" s="133"/>
    </row>
    <row r="82" spans="1:6" x14ac:dyDescent="0.25">
      <c r="A82" s="32" t="s">
        <v>53</v>
      </c>
      <c r="B82" s="35">
        <v>0.05</v>
      </c>
      <c r="C82" s="133">
        <f t="shared" si="9"/>
        <v>213.57</v>
      </c>
      <c r="D82" s="133"/>
      <c r="E82" s="133">
        <f t="shared" si="10"/>
        <v>2562.84</v>
      </c>
      <c r="F82" s="133"/>
    </row>
    <row r="83" spans="1:6" x14ac:dyDescent="0.25">
      <c r="A83" s="33" t="s">
        <v>51</v>
      </c>
      <c r="B83" s="34">
        <f>SUM(B80:B82)</f>
        <v>0.14249999999999999</v>
      </c>
      <c r="C83" s="133">
        <f>SUM(C80:D82)</f>
        <v>608.67999999999995</v>
      </c>
      <c r="D83" s="133"/>
      <c r="E83" s="144">
        <f>SUM(E80:F82)</f>
        <v>7304.16</v>
      </c>
      <c r="F83" s="145"/>
    </row>
    <row r="84" spans="1:6" x14ac:dyDescent="0.25">
      <c r="A84" s="146" t="s">
        <v>98</v>
      </c>
      <c r="B84" s="146"/>
      <c r="C84" s="140">
        <f>C72+C75+C83</f>
        <v>941.47</v>
      </c>
      <c r="D84" s="140"/>
      <c r="E84" s="140">
        <f>C84*12</f>
        <v>11297.64</v>
      </c>
      <c r="F84" s="140"/>
    </row>
    <row r="85" spans="1:6" x14ac:dyDescent="0.25">
      <c r="A85" s="141"/>
      <c r="B85" s="142"/>
      <c r="C85" s="142"/>
      <c r="D85" s="142"/>
      <c r="E85" s="142"/>
      <c r="F85" s="143"/>
    </row>
    <row r="86" spans="1:6" x14ac:dyDescent="0.25">
      <c r="A86" s="148" t="s">
        <v>54</v>
      </c>
      <c r="B86" s="151" t="s">
        <v>12</v>
      </c>
      <c r="C86" s="151"/>
      <c r="D86" s="152" t="s">
        <v>3</v>
      </c>
      <c r="E86" s="153"/>
      <c r="F86" s="154"/>
    </row>
    <row r="87" spans="1:6" x14ac:dyDescent="0.25">
      <c r="A87" s="149"/>
      <c r="B87" s="25" t="s">
        <v>5</v>
      </c>
      <c r="C87" s="26">
        <f>C34</f>
        <v>3145.32</v>
      </c>
      <c r="D87" s="25" t="s">
        <v>5</v>
      </c>
      <c r="E87" s="155">
        <f>D34</f>
        <v>37743.839999999997</v>
      </c>
      <c r="F87" s="156"/>
    </row>
    <row r="88" spans="1:6" x14ac:dyDescent="0.25">
      <c r="A88" s="149"/>
      <c r="B88" s="25" t="s">
        <v>6</v>
      </c>
      <c r="C88" s="26">
        <f>C53</f>
        <v>184.63</v>
      </c>
      <c r="D88" s="25" t="s">
        <v>6</v>
      </c>
      <c r="E88" s="155">
        <f>D53</f>
        <v>2215.56</v>
      </c>
      <c r="F88" s="156"/>
    </row>
    <row r="89" spans="1:6" x14ac:dyDescent="0.25">
      <c r="A89" s="149"/>
      <c r="B89" s="25" t="s">
        <v>7</v>
      </c>
      <c r="C89" s="26">
        <f>C66</f>
        <v>72.34</v>
      </c>
      <c r="D89" s="25" t="s">
        <v>7</v>
      </c>
      <c r="E89" s="155">
        <f>F66</f>
        <v>868.08</v>
      </c>
      <c r="F89" s="156"/>
    </row>
    <row r="90" spans="1:6" x14ac:dyDescent="0.25">
      <c r="A90" s="149"/>
      <c r="B90" s="25" t="s">
        <v>8</v>
      </c>
      <c r="C90" s="26">
        <f>C84</f>
        <v>941.47</v>
      </c>
      <c r="D90" s="25" t="s">
        <v>8</v>
      </c>
      <c r="E90" s="155">
        <f>E84</f>
        <v>11297.64</v>
      </c>
      <c r="F90" s="156"/>
    </row>
    <row r="91" spans="1:6" x14ac:dyDescent="0.25">
      <c r="A91" s="150"/>
      <c r="B91" s="24" t="s">
        <v>12</v>
      </c>
      <c r="C91" s="27">
        <f>SUM(C87:C90)</f>
        <v>4343.76</v>
      </c>
      <c r="D91" s="24" t="s">
        <v>42</v>
      </c>
      <c r="E91" s="157">
        <f>SUM(E87:E90)</f>
        <v>52125.120000000003</v>
      </c>
      <c r="F91" s="158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ht="18" x14ac:dyDescent="0.25">
      <c r="A94" s="102" t="s">
        <v>130</v>
      </c>
      <c r="B94" s="103"/>
      <c r="C94" s="103"/>
      <c r="D94" s="104"/>
      <c r="E94" s="102">
        <v>2</v>
      </c>
      <c r="F94" s="104"/>
    </row>
    <row r="95" spans="1:6" ht="18" x14ac:dyDescent="0.25">
      <c r="A95" s="102" t="s">
        <v>131</v>
      </c>
      <c r="B95" s="103"/>
      <c r="C95" s="103"/>
      <c r="D95" s="104"/>
      <c r="E95" s="101">
        <f>C91*E94</f>
        <v>8687.52</v>
      </c>
      <c r="F95" s="101"/>
    </row>
    <row r="96" spans="1:6" ht="18" x14ac:dyDescent="0.25">
      <c r="A96" s="102" t="s">
        <v>132</v>
      </c>
      <c r="B96" s="103"/>
      <c r="C96" s="103"/>
      <c r="D96" s="104"/>
      <c r="E96" s="101">
        <f>E95*12</f>
        <v>104250.24000000001</v>
      </c>
      <c r="F96" s="101"/>
    </row>
  </sheetData>
  <mergeCells count="62">
    <mergeCell ref="A96:D96"/>
    <mergeCell ref="E96:F96"/>
    <mergeCell ref="A94:D94"/>
    <mergeCell ref="E94:F94"/>
    <mergeCell ref="A95:D95"/>
    <mergeCell ref="E95:F95"/>
    <mergeCell ref="A85:F85"/>
    <mergeCell ref="A86:A91"/>
    <mergeCell ref="B86:C86"/>
    <mergeCell ref="D86:F86"/>
    <mergeCell ref="E87:F87"/>
    <mergeCell ref="E88:F88"/>
    <mergeCell ref="E89:F89"/>
    <mergeCell ref="E90:F90"/>
    <mergeCell ref="E91:F91"/>
    <mergeCell ref="C82:D82"/>
    <mergeCell ref="E82:F82"/>
    <mergeCell ref="C83:D83"/>
    <mergeCell ref="E83:F83"/>
    <mergeCell ref="A84:B84"/>
    <mergeCell ref="C84:D84"/>
    <mergeCell ref="E84:F84"/>
    <mergeCell ref="C81:D81"/>
    <mergeCell ref="E81:F81"/>
    <mergeCell ref="C75:D75"/>
    <mergeCell ref="E75:F75"/>
    <mergeCell ref="A76:D76"/>
    <mergeCell ref="A77:B77"/>
    <mergeCell ref="C77:D77"/>
    <mergeCell ref="E77:F77"/>
    <mergeCell ref="A78:F78"/>
    <mergeCell ref="C79:D79"/>
    <mergeCell ref="E79:F79"/>
    <mergeCell ref="C80:D80"/>
    <mergeCell ref="E80:F80"/>
    <mergeCell ref="A73:B74"/>
    <mergeCell ref="C73:D74"/>
    <mergeCell ref="E73:F74"/>
    <mergeCell ref="A66:B66"/>
    <mergeCell ref="D66:E66"/>
    <mergeCell ref="A67:F67"/>
    <mergeCell ref="A68:F68"/>
    <mergeCell ref="A69:B69"/>
    <mergeCell ref="C69:D69"/>
    <mergeCell ref="E69:F69"/>
    <mergeCell ref="A70:B71"/>
    <mergeCell ref="C70:D71"/>
    <mergeCell ref="E70:F71"/>
    <mergeCell ref="C72:D72"/>
    <mergeCell ref="E72:F72"/>
    <mergeCell ref="A57:F57"/>
    <mergeCell ref="A1:E1"/>
    <mergeCell ref="A2:E2"/>
    <mergeCell ref="A3:E3"/>
    <mergeCell ref="C5:C8"/>
    <mergeCell ref="D5:D8"/>
    <mergeCell ref="E5:E8"/>
    <mergeCell ref="A9:D9"/>
    <mergeCell ref="A34:B34"/>
    <mergeCell ref="A36:D36"/>
    <mergeCell ref="A53:B53"/>
    <mergeCell ref="A55:F55"/>
  </mergeCells>
  <pageMargins left="0.511811024" right="0.511811024" top="0.78740157499999996" bottom="0.78740157499999996" header="0.31496062000000002" footer="0.31496062000000002"/>
  <pageSetup paperSize="9" scale="82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7B24-2E2D-475D-B3C3-144EFC32FAF4}">
  <sheetPr>
    <pageSetUpPr fitToPage="1"/>
  </sheetPr>
  <dimension ref="A1:F102"/>
  <sheetViews>
    <sheetView workbookViewId="0">
      <selection activeCell="A7" sqref="A7:B7"/>
    </sheetView>
  </sheetViews>
  <sheetFormatPr defaultRowHeight="15" x14ac:dyDescent="0.25"/>
  <cols>
    <col min="1" max="1" width="45.140625" customWidth="1"/>
    <col min="2" max="3" width="12" customWidth="1"/>
    <col min="4" max="4" width="14" customWidth="1"/>
    <col min="5" max="5" width="13.140625" customWidth="1"/>
    <col min="6" max="6" width="15.140625" customWidth="1"/>
  </cols>
  <sheetData>
    <row r="1" spans="1:6" ht="24" customHeight="1" x14ac:dyDescent="0.25">
      <c r="A1" s="107" t="s">
        <v>140</v>
      </c>
      <c r="B1" s="108"/>
      <c r="C1" s="108"/>
      <c r="D1" s="108"/>
      <c r="E1" s="109"/>
      <c r="F1" s="1"/>
    </row>
    <row r="2" spans="1:6" ht="25.5" customHeight="1" x14ac:dyDescent="0.25">
      <c r="A2" s="107" t="s">
        <v>141</v>
      </c>
      <c r="B2" s="108"/>
      <c r="C2" s="108"/>
      <c r="D2" s="108"/>
      <c r="E2" s="109"/>
      <c r="F2" s="1"/>
    </row>
    <row r="3" spans="1:6" x14ac:dyDescent="0.25">
      <c r="A3" s="110" t="s">
        <v>23</v>
      </c>
      <c r="B3" s="110"/>
      <c r="C3" s="110"/>
      <c r="D3" s="110"/>
      <c r="E3" s="110"/>
      <c r="F3" s="1"/>
    </row>
    <row r="4" spans="1:6" ht="24" x14ac:dyDescent="0.25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25">
      <c r="A5" s="4" t="s">
        <v>142</v>
      </c>
      <c r="B5" s="6">
        <f>1764</f>
        <v>1764</v>
      </c>
      <c r="C5" s="113">
        <v>1</v>
      </c>
      <c r="D5" s="114">
        <f>SUM(B5:B8)*C5</f>
        <v>2551.1999999999998</v>
      </c>
      <c r="E5" s="114">
        <f>D5*12</f>
        <v>30614.400000000001</v>
      </c>
      <c r="F5" s="1"/>
    </row>
    <row r="6" spans="1:6" x14ac:dyDescent="0.25">
      <c r="A6" s="65" t="s">
        <v>112</v>
      </c>
      <c r="B6" s="63">
        <f>122</f>
        <v>122</v>
      </c>
      <c r="C6" s="113"/>
      <c r="D6" s="114"/>
      <c r="E6" s="114"/>
      <c r="F6" s="1"/>
    </row>
    <row r="7" spans="1:6" ht="24" x14ac:dyDescent="0.25">
      <c r="A7" s="4" t="s">
        <v>175</v>
      </c>
      <c r="B7" s="6">
        <v>58</v>
      </c>
      <c r="C7" s="113"/>
      <c r="D7" s="114"/>
      <c r="E7" s="114"/>
      <c r="F7" s="1"/>
    </row>
    <row r="8" spans="1:6" x14ac:dyDescent="0.25">
      <c r="A8" s="65" t="s">
        <v>176</v>
      </c>
      <c r="B8" s="63">
        <f>1518*40%</f>
        <v>607.20000000000005</v>
      </c>
      <c r="C8" s="113"/>
      <c r="D8" s="114"/>
      <c r="E8" s="114"/>
      <c r="F8" s="1"/>
    </row>
    <row r="9" spans="1:6" x14ac:dyDescent="0.25">
      <c r="A9" s="111"/>
      <c r="B9" s="112"/>
      <c r="C9" s="112"/>
      <c r="D9" s="112"/>
      <c r="E9" s="53"/>
      <c r="F9" s="1"/>
    </row>
    <row r="10" spans="1:6" ht="24" x14ac:dyDescent="0.25">
      <c r="A10" s="8" t="s">
        <v>13</v>
      </c>
      <c r="B10" s="15" t="s">
        <v>1</v>
      </c>
      <c r="C10" s="15" t="s">
        <v>12</v>
      </c>
      <c r="D10" s="15" t="s">
        <v>2</v>
      </c>
      <c r="E10" s="40"/>
      <c r="F10" s="1"/>
    </row>
    <row r="11" spans="1:6" x14ac:dyDescent="0.25">
      <c r="A11" s="4" t="s">
        <v>20</v>
      </c>
      <c r="B11" s="5">
        <v>8.3299999999999999E-2</v>
      </c>
      <c r="C11" s="6">
        <f>B11*$D$5</f>
        <v>212.51</v>
      </c>
      <c r="D11" s="6">
        <f>B11*$E$5</f>
        <v>2550.1799999999998</v>
      </c>
      <c r="E11" s="54"/>
      <c r="F11" s="37"/>
    </row>
    <row r="12" spans="1:6" ht="36" x14ac:dyDescent="0.25">
      <c r="A12" s="4" t="s">
        <v>102</v>
      </c>
      <c r="B12" s="5">
        <v>2.7799999999999998E-2</v>
      </c>
      <c r="C12" s="6">
        <f>B12*$D$5</f>
        <v>70.92</v>
      </c>
      <c r="D12" s="6">
        <f>B12*$E$5</f>
        <v>851.08</v>
      </c>
      <c r="E12" s="37"/>
      <c r="F12" s="37"/>
    </row>
    <row r="13" spans="1:6" x14ac:dyDescent="0.25">
      <c r="A13" s="15" t="s">
        <v>14</v>
      </c>
      <c r="B13" s="16">
        <f>SUM(B11:B12)</f>
        <v>0.1111</v>
      </c>
      <c r="C13" s="17">
        <f>SUM(C11:C12)</f>
        <v>283.43</v>
      </c>
      <c r="D13" s="17">
        <f>C13*12</f>
        <v>3401.16</v>
      </c>
      <c r="E13" s="40"/>
      <c r="F13" s="40"/>
    </row>
    <row r="14" spans="1:6" x14ac:dyDescent="0.25">
      <c r="A14" s="52"/>
      <c r="B14" s="52"/>
      <c r="C14" s="52"/>
      <c r="D14" s="55"/>
      <c r="E14" s="53"/>
      <c r="F14" s="53"/>
    </row>
    <row r="15" spans="1:6" ht="24" x14ac:dyDescent="0.25">
      <c r="A15" s="8" t="s">
        <v>15</v>
      </c>
      <c r="B15" s="15" t="s">
        <v>1</v>
      </c>
      <c r="C15" s="15" t="s">
        <v>12</v>
      </c>
      <c r="D15" s="15" t="s">
        <v>2</v>
      </c>
      <c r="E15" s="37"/>
      <c r="F15" s="37"/>
    </row>
    <row r="16" spans="1:6" x14ac:dyDescent="0.25">
      <c r="A16" s="4" t="s">
        <v>21</v>
      </c>
      <c r="B16" s="5">
        <v>0.2</v>
      </c>
      <c r="C16" s="6">
        <f t="shared" ref="C16:C23" si="0">B16*$D$5</f>
        <v>510.24</v>
      </c>
      <c r="D16" s="6">
        <f t="shared" ref="D16:D23" si="1">B16*$E$5</f>
        <v>6122.88</v>
      </c>
      <c r="E16" s="54"/>
      <c r="F16" s="37"/>
    </row>
    <row r="17" spans="1:6" x14ac:dyDescent="0.25">
      <c r="A17" s="4" t="s">
        <v>57</v>
      </c>
      <c r="B17" s="5">
        <v>2.5000000000000001E-2</v>
      </c>
      <c r="C17" s="6">
        <f t="shared" si="0"/>
        <v>63.78</v>
      </c>
      <c r="D17" s="6">
        <f t="shared" si="1"/>
        <v>765.36</v>
      </c>
      <c r="E17" s="37"/>
      <c r="F17" s="37"/>
    </row>
    <row r="18" spans="1:6" x14ac:dyDescent="0.25">
      <c r="A18" s="4" t="s">
        <v>58</v>
      </c>
      <c r="B18" s="5">
        <v>0.03</v>
      </c>
      <c r="C18" s="6">
        <f t="shared" si="0"/>
        <v>76.540000000000006</v>
      </c>
      <c r="D18" s="6">
        <f t="shared" si="1"/>
        <v>918.43</v>
      </c>
      <c r="E18" s="37"/>
      <c r="F18" s="37"/>
    </row>
    <row r="19" spans="1:6" x14ac:dyDescent="0.25">
      <c r="A19" s="4" t="s">
        <v>59</v>
      </c>
      <c r="B19" s="5">
        <v>1.4999999999999999E-2</v>
      </c>
      <c r="C19" s="6">
        <f t="shared" si="0"/>
        <v>38.270000000000003</v>
      </c>
      <c r="D19" s="6">
        <f t="shared" si="1"/>
        <v>459.22</v>
      </c>
      <c r="E19" s="37"/>
      <c r="F19" s="37"/>
    </row>
    <row r="20" spans="1:6" x14ac:dyDescent="0.25">
      <c r="A20" s="4" t="s">
        <v>60</v>
      </c>
      <c r="B20" s="5">
        <v>0.01</v>
      </c>
      <c r="C20" s="6">
        <f t="shared" si="0"/>
        <v>25.51</v>
      </c>
      <c r="D20" s="6">
        <f t="shared" si="1"/>
        <v>306.14</v>
      </c>
      <c r="E20" s="37"/>
      <c r="F20" s="37"/>
    </row>
    <row r="21" spans="1:6" x14ac:dyDescent="0.25">
      <c r="A21" s="4" t="s">
        <v>61</v>
      </c>
      <c r="B21" s="5">
        <v>6.0000000000000001E-3</v>
      </c>
      <c r="C21" s="6">
        <f t="shared" si="0"/>
        <v>15.31</v>
      </c>
      <c r="D21" s="6">
        <f t="shared" si="1"/>
        <v>183.69</v>
      </c>
      <c r="E21" s="37"/>
      <c r="F21" s="37"/>
    </row>
    <row r="22" spans="1:6" x14ac:dyDescent="0.25">
      <c r="A22" s="4" t="s">
        <v>62</v>
      </c>
      <c r="B22" s="5">
        <v>2E-3</v>
      </c>
      <c r="C22" s="6">
        <f t="shared" si="0"/>
        <v>5.0999999999999996</v>
      </c>
      <c r="D22" s="6">
        <f t="shared" si="1"/>
        <v>61.23</v>
      </c>
      <c r="E22" s="37"/>
      <c r="F22" s="37"/>
    </row>
    <row r="23" spans="1:6" x14ac:dyDescent="0.25">
      <c r="A23" s="4" t="s">
        <v>63</v>
      </c>
      <c r="B23" s="5">
        <v>0.08</v>
      </c>
      <c r="C23" s="6">
        <f t="shared" si="0"/>
        <v>204.1</v>
      </c>
      <c r="D23" s="6">
        <f t="shared" si="1"/>
        <v>2449.15</v>
      </c>
      <c r="E23" s="37"/>
      <c r="F23" s="37"/>
    </row>
    <row r="24" spans="1:6" x14ac:dyDescent="0.25">
      <c r="A24" s="15" t="s">
        <v>16</v>
      </c>
      <c r="B24" s="16">
        <f>SUM(B16:B23)</f>
        <v>0.36799999999999999</v>
      </c>
      <c r="C24" s="17">
        <f>SUM(C16:C23)</f>
        <v>938.85</v>
      </c>
      <c r="D24" s="17">
        <f>C24*12</f>
        <v>11266.2</v>
      </c>
      <c r="E24" s="40"/>
      <c r="F24" s="40"/>
    </row>
    <row r="25" spans="1:6" x14ac:dyDescent="0.25">
      <c r="A25" s="53"/>
      <c r="B25" s="53"/>
      <c r="C25" s="53"/>
      <c r="D25" s="53"/>
      <c r="E25" s="53"/>
      <c r="F25" s="53"/>
    </row>
    <row r="26" spans="1:6" ht="24" x14ac:dyDescent="0.25">
      <c r="A26" s="8" t="s">
        <v>94</v>
      </c>
      <c r="B26" s="15" t="s">
        <v>22</v>
      </c>
      <c r="C26" s="15" t="s">
        <v>12</v>
      </c>
      <c r="D26" s="15" t="s">
        <v>2</v>
      </c>
      <c r="E26" s="41"/>
      <c r="F26" s="1"/>
    </row>
    <row r="27" spans="1:6" ht="24" x14ac:dyDescent="0.25">
      <c r="A27" s="4" t="s">
        <v>93</v>
      </c>
      <c r="B27" s="60">
        <f>(3.8*24*2)-B5*0.06</f>
        <v>76.56</v>
      </c>
      <c r="C27" s="6">
        <f t="shared" ref="C27:C28" si="2">B27*(SUM($C$5:$C$5))</f>
        <v>76.56</v>
      </c>
      <c r="D27" s="6">
        <f>C27*12</f>
        <v>918.72</v>
      </c>
      <c r="E27" s="41"/>
      <c r="F27" s="1"/>
    </row>
    <row r="28" spans="1:6" x14ac:dyDescent="0.25">
      <c r="A28" s="4" t="s">
        <v>17</v>
      </c>
      <c r="B28" s="60">
        <f>805*80%</f>
        <v>644</v>
      </c>
      <c r="C28" s="6">
        <f t="shared" si="2"/>
        <v>644</v>
      </c>
      <c r="D28" s="6">
        <f t="shared" ref="D28:D31" si="3">C28*12</f>
        <v>7728</v>
      </c>
      <c r="E28" s="41"/>
      <c r="F28" s="37"/>
    </row>
    <row r="29" spans="1:6" x14ac:dyDescent="0.25">
      <c r="A29" s="4" t="s">
        <v>18</v>
      </c>
      <c r="B29" s="60">
        <v>87.5</v>
      </c>
      <c r="C29" s="6">
        <v>87.5</v>
      </c>
      <c r="D29" s="6">
        <f t="shared" si="3"/>
        <v>1050</v>
      </c>
      <c r="E29" s="41"/>
      <c r="F29" s="37"/>
    </row>
    <row r="30" spans="1:6" x14ac:dyDescent="0.25">
      <c r="A30" s="4" t="s">
        <v>19</v>
      </c>
      <c r="B30" s="60">
        <v>28</v>
      </c>
      <c r="C30" s="6">
        <v>28</v>
      </c>
      <c r="D30" s="6">
        <f t="shared" si="3"/>
        <v>336</v>
      </c>
      <c r="E30" s="41"/>
      <c r="F30" s="37"/>
    </row>
    <row r="31" spans="1:6" x14ac:dyDescent="0.25">
      <c r="A31" s="61" t="s">
        <v>91</v>
      </c>
      <c r="B31" s="62">
        <v>28</v>
      </c>
      <c r="C31" s="63">
        <v>28</v>
      </c>
      <c r="D31" s="64">
        <f t="shared" si="3"/>
        <v>336</v>
      </c>
      <c r="E31" s="41"/>
      <c r="F31" s="40"/>
    </row>
    <row r="32" spans="1:6" x14ac:dyDescent="0.25">
      <c r="A32" s="65" t="s">
        <v>88</v>
      </c>
      <c r="B32" s="66">
        <f>(805*80%)</f>
        <v>644</v>
      </c>
      <c r="C32" s="69">
        <f>B32/12</f>
        <v>53.667000000000002</v>
      </c>
      <c r="D32" s="63">
        <f>C32*12</f>
        <v>644</v>
      </c>
      <c r="E32" s="41"/>
      <c r="F32" s="40"/>
    </row>
    <row r="33" spans="1:6" x14ac:dyDescent="0.25">
      <c r="A33" s="67" t="s">
        <v>89</v>
      </c>
      <c r="B33" s="68">
        <f>SUM(B27:B32)</f>
        <v>1508.06</v>
      </c>
      <c r="C33" s="68">
        <f>SUM(C27:C32)</f>
        <v>917.73</v>
      </c>
      <c r="D33" s="68">
        <f>C33*12</f>
        <v>11012.76</v>
      </c>
      <c r="E33" s="40"/>
      <c r="F33" s="40"/>
    </row>
    <row r="34" spans="1:6" ht="27" customHeight="1" x14ac:dyDescent="0.25">
      <c r="A34" s="105" t="s">
        <v>4</v>
      </c>
      <c r="B34" s="106"/>
      <c r="C34" s="48">
        <f>D5+C13+C24+C33</f>
        <v>4691.21</v>
      </c>
      <c r="D34" s="48">
        <f>SUM(E5+D13+D24+D33)</f>
        <v>56294.52</v>
      </c>
      <c r="E34" s="40"/>
      <c r="F34" s="40"/>
    </row>
    <row r="35" spans="1:6" x14ac:dyDescent="0.25">
      <c r="A35" s="40"/>
      <c r="B35" s="40"/>
      <c r="C35" s="40"/>
      <c r="D35" s="40"/>
      <c r="E35" s="40"/>
      <c r="F35" s="40"/>
    </row>
    <row r="36" spans="1:6" x14ac:dyDescent="0.25">
      <c r="A36" s="115" t="s">
        <v>31</v>
      </c>
      <c r="B36" s="115"/>
      <c r="C36" s="115"/>
      <c r="D36" s="115"/>
      <c r="E36" s="40"/>
      <c r="F36" s="40"/>
    </row>
    <row r="37" spans="1:6" ht="24" x14ac:dyDescent="0.25">
      <c r="A37" s="18" t="s">
        <v>30</v>
      </c>
      <c r="B37" s="19" t="s">
        <v>1</v>
      </c>
      <c r="C37" s="19" t="s">
        <v>12</v>
      </c>
      <c r="D37" s="19" t="s">
        <v>2</v>
      </c>
      <c r="E37" s="40"/>
      <c r="F37" s="40"/>
    </row>
    <row r="38" spans="1:6" x14ac:dyDescent="0.25">
      <c r="A38" s="10" t="s">
        <v>24</v>
      </c>
      <c r="B38" s="13">
        <v>4.1999999999999997E-3</v>
      </c>
      <c r="C38" s="11">
        <f t="shared" ref="C38:C43" si="4">B38*$D$5</f>
        <v>10.72</v>
      </c>
      <c r="D38" s="11">
        <f t="shared" ref="D38:D43" si="5">B38*$E$5</f>
        <v>128.58000000000001</v>
      </c>
      <c r="E38" s="37"/>
      <c r="F38" s="1"/>
    </row>
    <row r="39" spans="1:6" x14ac:dyDescent="0.25">
      <c r="A39" s="10" t="s">
        <v>25</v>
      </c>
      <c r="B39" s="14">
        <v>3.3E-4</v>
      </c>
      <c r="C39" s="11">
        <f t="shared" si="4"/>
        <v>0.84</v>
      </c>
      <c r="D39" s="11">
        <f t="shared" si="5"/>
        <v>10.1</v>
      </c>
      <c r="E39" s="37"/>
      <c r="F39" s="1"/>
    </row>
    <row r="40" spans="1:6" x14ac:dyDescent="0.25">
      <c r="A40" s="10" t="s">
        <v>26</v>
      </c>
      <c r="B40" s="14">
        <v>1.6000000000000001E-4</v>
      </c>
      <c r="C40" s="11">
        <f t="shared" si="4"/>
        <v>0.41</v>
      </c>
      <c r="D40" s="11">
        <f t="shared" si="5"/>
        <v>4.9000000000000004</v>
      </c>
      <c r="E40" s="37"/>
      <c r="F40" s="1"/>
    </row>
    <row r="41" spans="1:6" x14ac:dyDescent="0.25">
      <c r="A41" s="10" t="s">
        <v>27</v>
      </c>
      <c r="B41" s="13">
        <v>1.9400000000000001E-2</v>
      </c>
      <c r="C41" s="11">
        <f t="shared" si="4"/>
        <v>49.49</v>
      </c>
      <c r="D41" s="11">
        <f t="shared" si="5"/>
        <v>593.91999999999996</v>
      </c>
      <c r="E41" s="37"/>
      <c r="F41" s="1"/>
    </row>
    <row r="42" spans="1:6" ht="24" x14ac:dyDescent="0.25">
      <c r="A42" s="10" t="s">
        <v>28</v>
      </c>
      <c r="B42" s="13">
        <f>B41*B24</f>
        <v>7.1000000000000004E-3</v>
      </c>
      <c r="C42" s="11">
        <f t="shared" si="4"/>
        <v>18.11</v>
      </c>
      <c r="D42" s="11">
        <f t="shared" si="5"/>
        <v>217.36</v>
      </c>
      <c r="E42" s="37"/>
      <c r="F42" s="1"/>
    </row>
    <row r="43" spans="1:6" x14ac:dyDescent="0.25">
      <c r="A43" s="10" t="s">
        <v>29</v>
      </c>
      <c r="B43" s="14">
        <v>7.6999999999999996E-4</v>
      </c>
      <c r="C43" s="11">
        <f t="shared" si="4"/>
        <v>1.96</v>
      </c>
      <c r="D43" s="11">
        <f t="shared" si="5"/>
        <v>23.57</v>
      </c>
      <c r="E43" s="37"/>
      <c r="F43" s="1"/>
    </row>
    <row r="44" spans="1:6" x14ac:dyDescent="0.25">
      <c r="A44" s="19" t="s">
        <v>38</v>
      </c>
      <c r="B44" s="20">
        <f>SUM(B38:B43)</f>
        <v>3.2000000000000001E-2</v>
      </c>
      <c r="C44" s="21">
        <f>SUM(C38:C43)</f>
        <v>81.53</v>
      </c>
      <c r="D44" s="21">
        <f>C44*12</f>
        <v>978.36</v>
      </c>
      <c r="E44" s="40"/>
      <c r="F44" s="40"/>
    </row>
    <row r="45" spans="1:6" x14ac:dyDescent="0.25">
      <c r="A45" s="49"/>
      <c r="B45" s="50"/>
      <c r="C45" s="50"/>
      <c r="D45" s="50"/>
      <c r="E45" s="40"/>
      <c r="F45" s="40"/>
    </row>
    <row r="46" spans="1:6" ht="24" x14ac:dyDescent="0.25">
      <c r="A46" s="18" t="s">
        <v>32</v>
      </c>
      <c r="B46" s="19" t="s">
        <v>1</v>
      </c>
      <c r="C46" s="19" t="s">
        <v>12</v>
      </c>
      <c r="D46" s="19" t="s">
        <v>2</v>
      </c>
      <c r="E46" s="39"/>
      <c r="F46" s="39"/>
    </row>
    <row r="47" spans="1:6" x14ac:dyDescent="0.25">
      <c r="A47" s="10" t="s">
        <v>33</v>
      </c>
      <c r="B47" s="13">
        <v>8.3299999999999999E-2</v>
      </c>
      <c r="C47" s="11">
        <f>B47*$D$5</f>
        <v>212.51</v>
      </c>
      <c r="D47" s="11">
        <f>B47*$E$5</f>
        <v>2550.1799999999998</v>
      </c>
      <c r="E47" s="37"/>
      <c r="F47" s="37"/>
    </row>
    <row r="48" spans="1:6" x14ac:dyDescent="0.25">
      <c r="A48" s="10" t="s">
        <v>34</v>
      </c>
      <c r="B48" s="13">
        <v>8.0000000000000004E-4</v>
      </c>
      <c r="C48" s="11">
        <f>B48*$D$5</f>
        <v>2.04</v>
      </c>
      <c r="D48" s="11">
        <f>B48*$E$5</f>
        <v>24.49</v>
      </c>
      <c r="E48" s="37"/>
      <c r="F48" s="37"/>
    </row>
    <row r="49" spans="1:6" ht="24" x14ac:dyDescent="0.25">
      <c r="A49" s="10" t="s">
        <v>35</v>
      </c>
      <c r="B49" s="13">
        <v>2.9999999999999997E-4</v>
      </c>
      <c r="C49" s="11">
        <f>B49*$D$5</f>
        <v>0.77</v>
      </c>
      <c r="D49" s="11">
        <f>B49*$E$5</f>
        <v>9.18</v>
      </c>
      <c r="E49" s="37"/>
      <c r="F49" s="37"/>
    </row>
    <row r="50" spans="1:6" ht="24" x14ac:dyDescent="0.25">
      <c r="A50" s="10" t="s">
        <v>36</v>
      </c>
      <c r="B50" s="13">
        <v>1.2999999999999999E-3</v>
      </c>
      <c r="C50" s="11">
        <f>B50*$D$5</f>
        <v>3.32</v>
      </c>
      <c r="D50" s="11">
        <f>B50*$E$5</f>
        <v>39.799999999999997</v>
      </c>
      <c r="E50" s="37"/>
      <c r="F50" s="37"/>
    </row>
    <row r="51" spans="1:6" x14ac:dyDescent="0.25">
      <c r="A51" s="10" t="s">
        <v>37</v>
      </c>
      <c r="B51" s="13">
        <v>8.2000000000000007E-3</v>
      </c>
      <c r="C51" s="11">
        <f>B51*$D$5</f>
        <v>20.92</v>
      </c>
      <c r="D51" s="11">
        <f>B51*$E$5</f>
        <v>251.04</v>
      </c>
      <c r="E51" s="37"/>
      <c r="F51" s="37"/>
    </row>
    <row r="52" spans="1:6" x14ac:dyDescent="0.25">
      <c r="A52" s="19" t="s">
        <v>39</v>
      </c>
      <c r="B52" s="20">
        <f>SUM(B47:B51)</f>
        <v>9.3899999999999997E-2</v>
      </c>
      <c r="C52" s="21">
        <f>SUM(C47:C51)</f>
        <v>239.56</v>
      </c>
      <c r="D52" s="21">
        <f>C52*12</f>
        <v>2874.72</v>
      </c>
      <c r="E52" s="39"/>
      <c r="F52" s="39"/>
    </row>
    <row r="53" spans="1:6" ht="24.75" customHeight="1" x14ac:dyDescent="0.25">
      <c r="A53" s="116" t="s">
        <v>40</v>
      </c>
      <c r="B53" s="117"/>
      <c r="C53" s="46">
        <f>SUM(C44+C52)</f>
        <v>321.08999999999997</v>
      </c>
      <c r="D53" s="47">
        <f>SUM(D44+D52)</f>
        <v>3853.08</v>
      </c>
      <c r="E53" s="39"/>
      <c r="F53" s="39"/>
    </row>
    <row r="54" spans="1:6" x14ac:dyDescent="0.25">
      <c r="A54" s="49"/>
      <c r="B54" s="50"/>
      <c r="C54" s="50"/>
      <c r="D54" s="50"/>
      <c r="E54" s="51"/>
      <c r="F54" s="51"/>
    </row>
    <row r="55" spans="1:6" x14ac:dyDescent="0.25">
      <c r="A55" s="118" t="s">
        <v>115</v>
      </c>
      <c r="B55" s="119"/>
      <c r="C55" s="119"/>
      <c r="D55" s="119"/>
      <c r="E55" s="119"/>
      <c r="F55" s="120"/>
    </row>
    <row r="56" spans="1:6" ht="24" x14ac:dyDescent="0.25">
      <c r="A56" s="22" t="s">
        <v>116</v>
      </c>
      <c r="B56" s="23" t="s">
        <v>90</v>
      </c>
      <c r="C56" s="23" t="s">
        <v>104</v>
      </c>
      <c r="D56" s="23" t="s">
        <v>0</v>
      </c>
      <c r="E56" s="23" t="s">
        <v>12</v>
      </c>
      <c r="F56" s="23" t="s">
        <v>2</v>
      </c>
    </row>
    <row r="57" spans="1:6" x14ac:dyDescent="0.25">
      <c r="A57" s="121" t="s">
        <v>95</v>
      </c>
      <c r="B57" s="122"/>
      <c r="C57" s="122"/>
      <c r="D57" s="122"/>
      <c r="E57" s="122"/>
      <c r="F57" s="123"/>
    </row>
    <row r="58" spans="1:6" x14ac:dyDescent="0.25">
      <c r="A58" s="9" t="s">
        <v>117</v>
      </c>
      <c r="B58" s="2">
        <v>2</v>
      </c>
      <c r="C58" s="45">
        <f>B58*$C$5</f>
        <v>2</v>
      </c>
      <c r="D58" s="58">
        <v>49.1</v>
      </c>
      <c r="E58" s="3">
        <f>D58*C58/12</f>
        <v>8.18</v>
      </c>
      <c r="F58" s="3">
        <f>D58*C58</f>
        <v>98.2</v>
      </c>
    </row>
    <row r="59" spans="1:6" x14ac:dyDescent="0.25">
      <c r="A59" s="9" t="s">
        <v>118</v>
      </c>
      <c r="B59" s="2">
        <v>2</v>
      </c>
      <c r="C59" s="45">
        <f t="shared" ref="C59:C65" si="6">B59*$C$5</f>
        <v>2</v>
      </c>
      <c r="D59" s="58">
        <v>19.899999999999999</v>
      </c>
      <c r="E59" s="3">
        <f>D59*C59/12</f>
        <v>3.32</v>
      </c>
      <c r="F59" s="3">
        <f t="shared" ref="F59:F65" si="7">D59*C59</f>
        <v>39.799999999999997</v>
      </c>
    </row>
    <row r="60" spans="1:6" x14ac:dyDescent="0.25">
      <c r="A60" s="9" t="s">
        <v>119</v>
      </c>
      <c r="B60" s="2">
        <v>2</v>
      </c>
      <c r="C60" s="45">
        <f t="shared" si="6"/>
        <v>2</v>
      </c>
      <c r="D60" s="58">
        <v>65.38</v>
      </c>
      <c r="E60" s="3">
        <f t="shared" ref="E60:E65" si="8">D60*C60/12</f>
        <v>10.9</v>
      </c>
      <c r="F60" s="3">
        <f t="shared" si="7"/>
        <v>130.76</v>
      </c>
    </row>
    <row r="61" spans="1:6" x14ac:dyDescent="0.25">
      <c r="A61" s="9" t="s">
        <v>120</v>
      </c>
      <c r="B61" s="2">
        <v>2</v>
      </c>
      <c r="C61" s="45">
        <f t="shared" si="6"/>
        <v>2</v>
      </c>
      <c r="D61" s="58">
        <v>27.85</v>
      </c>
      <c r="E61" s="3">
        <f t="shared" si="8"/>
        <v>4.6399999999999997</v>
      </c>
      <c r="F61" s="3">
        <f t="shared" si="7"/>
        <v>55.7</v>
      </c>
    </row>
    <row r="62" spans="1:6" x14ac:dyDescent="0.25">
      <c r="A62" s="9" t="s">
        <v>121</v>
      </c>
      <c r="B62" s="2">
        <v>24</v>
      </c>
      <c r="C62" s="45">
        <f t="shared" si="6"/>
        <v>24</v>
      </c>
      <c r="D62" s="58">
        <v>12.9</v>
      </c>
      <c r="E62" s="3">
        <f t="shared" si="8"/>
        <v>25.8</v>
      </c>
      <c r="F62" s="3">
        <f t="shared" si="7"/>
        <v>309.60000000000002</v>
      </c>
    </row>
    <row r="63" spans="1:6" x14ac:dyDescent="0.25">
      <c r="A63" s="9" t="s">
        <v>122</v>
      </c>
      <c r="B63" s="2">
        <v>2</v>
      </c>
      <c r="C63" s="45">
        <f t="shared" si="6"/>
        <v>2</v>
      </c>
      <c r="D63" s="59">
        <v>73</v>
      </c>
      <c r="E63" s="3">
        <f t="shared" si="8"/>
        <v>12.17</v>
      </c>
      <c r="F63" s="3">
        <f t="shared" si="7"/>
        <v>146</v>
      </c>
    </row>
    <row r="64" spans="1:6" x14ac:dyDescent="0.25">
      <c r="A64" s="9" t="s">
        <v>123</v>
      </c>
      <c r="B64" s="2">
        <v>1</v>
      </c>
      <c r="C64" s="45">
        <f t="shared" si="6"/>
        <v>1</v>
      </c>
      <c r="D64" s="58">
        <v>37.9</v>
      </c>
      <c r="E64" s="3">
        <f t="shared" si="8"/>
        <v>3.16</v>
      </c>
      <c r="F64" s="3">
        <f t="shared" si="7"/>
        <v>37.9</v>
      </c>
    </row>
    <row r="65" spans="1:6" x14ac:dyDescent="0.25">
      <c r="A65" s="9" t="s">
        <v>124</v>
      </c>
      <c r="B65" s="2">
        <v>2</v>
      </c>
      <c r="C65" s="45">
        <f t="shared" si="6"/>
        <v>2</v>
      </c>
      <c r="D65" s="58">
        <v>25.02</v>
      </c>
      <c r="E65" s="3">
        <f t="shared" si="8"/>
        <v>4.17</v>
      </c>
      <c r="F65" s="3">
        <f t="shared" si="7"/>
        <v>50.04</v>
      </c>
    </row>
    <row r="66" spans="1:6" x14ac:dyDescent="0.25">
      <c r="A66" s="124" t="s">
        <v>96</v>
      </c>
      <c r="B66" s="124"/>
      <c r="C66" s="57">
        <f>SUM(E58:E65)</f>
        <v>72.34</v>
      </c>
      <c r="D66" s="125" t="s">
        <v>3</v>
      </c>
      <c r="E66" s="125"/>
      <c r="F66" s="56">
        <f>C66*12</f>
        <v>868.08</v>
      </c>
    </row>
    <row r="67" spans="1:6" x14ac:dyDescent="0.25">
      <c r="A67" s="127"/>
      <c r="B67" s="127"/>
      <c r="C67" s="127"/>
      <c r="D67" s="127"/>
      <c r="E67" s="127"/>
      <c r="F67" s="127"/>
    </row>
    <row r="68" spans="1:6" x14ac:dyDescent="0.25">
      <c r="A68" s="159" t="s">
        <v>143</v>
      </c>
      <c r="B68" s="159"/>
      <c r="C68" s="159"/>
      <c r="D68" s="70"/>
      <c r="E68" s="70"/>
      <c r="F68" s="70"/>
    </row>
    <row r="69" spans="1:6" ht="24" x14ac:dyDescent="0.25">
      <c r="A69" s="72" t="s">
        <v>32</v>
      </c>
      <c r="B69" s="71" t="s">
        <v>12</v>
      </c>
      <c r="C69" s="71" t="s">
        <v>2</v>
      </c>
      <c r="D69" s="70"/>
      <c r="E69" s="70"/>
      <c r="F69" s="1"/>
    </row>
    <row r="70" spans="1:6" ht="24" x14ac:dyDescent="0.25">
      <c r="A70" s="73" t="s">
        <v>144</v>
      </c>
      <c r="B70" s="74">
        <f>B5/220*15*1.5</f>
        <v>180.41</v>
      </c>
      <c r="C70" s="74">
        <f>B70*12</f>
        <v>2164.92</v>
      </c>
      <c r="D70" s="70"/>
      <c r="E70" s="70"/>
      <c r="F70" s="1"/>
    </row>
    <row r="71" spans="1:6" x14ac:dyDescent="0.25">
      <c r="A71" s="75" t="s">
        <v>145</v>
      </c>
      <c r="B71" s="76">
        <f>B70</f>
        <v>180.41</v>
      </c>
      <c r="C71" s="76">
        <f>C70</f>
        <v>2164.92</v>
      </c>
      <c r="D71" s="70"/>
      <c r="E71" s="70"/>
      <c r="F71" s="1"/>
    </row>
    <row r="72" spans="1:6" x14ac:dyDescent="0.25">
      <c r="A72" s="70"/>
      <c r="B72" s="70"/>
      <c r="C72" s="70"/>
      <c r="D72" s="70"/>
      <c r="E72" s="70"/>
      <c r="F72" s="70"/>
    </row>
    <row r="73" spans="1:6" x14ac:dyDescent="0.25">
      <c r="A73" s="126" t="s">
        <v>41</v>
      </c>
      <c r="B73" s="126"/>
      <c r="C73" s="126"/>
      <c r="D73" s="126"/>
      <c r="E73" s="126"/>
      <c r="F73" s="126"/>
    </row>
    <row r="74" spans="1:6" x14ac:dyDescent="0.25">
      <c r="A74" s="128" t="s">
        <v>41</v>
      </c>
      <c r="B74" s="128" t="s">
        <v>43</v>
      </c>
      <c r="C74" s="129" t="s">
        <v>12</v>
      </c>
      <c r="D74" s="129"/>
      <c r="E74" s="129" t="s">
        <v>2</v>
      </c>
      <c r="F74" s="129"/>
    </row>
    <row r="75" spans="1:6" x14ac:dyDescent="0.25">
      <c r="A75" s="130" t="s">
        <v>99</v>
      </c>
      <c r="B75" s="130"/>
      <c r="C75" s="131">
        <f>SUM(C34,C53)</f>
        <v>5012.3</v>
      </c>
      <c r="D75" s="131"/>
      <c r="E75" s="131">
        <f>C75*12</f>
        <v>60147.6</v>
      </c>
      <c r="F75" s="131"/>
    </row>
    <row r="76" spans="1:6" x14ac:dyDescent="0.25">
      <c r="A76" s="130"/>
      <c r="B76" s="130"/>
      <c r="C76" s="131"/>
      <c r="D76" s="131"/>
      <c r="E76" s="131"/>
      <c r="F76" s="131"/>
    </row>
    <row r="77" spans="1:6" x14ac:dyDescent="0.25">
      <c r="A77" s="28" t="s">
        <v>52</v>
      </c>
      <c r="B77" s="35">
        <v>0.03</v>
      </c>
      <c r="C77" s="133">
        <f>C75*B77</f>
        <v>150.37</v>
      </c>
      <c r="D77" s="133"/>
      <c r="E77" s="133">
        <f>C77*12</f>
        <v>1804.44</v>
      </c>
      <c r="F77" s="133"/>
    </row>
    <row r="78" spans="1:6" x14ac:dyDescent="0.25">
      <c r="A78" s="134" t="s">
        <v>100</v>
      </c>
      <c r="B78" s="134"/>
      <c r="C78" s="131">
        <f>C75+C77</f>
        <v>5162.67</v>
      </c>
      <c r="D78" s="131"/>
      <c r="E78" s="131">
        <f>E75+E77</f>
        <v>61952.04</v>
      </c>
      <c r="F78" s="131"/>
    </row>
    <row r="79" spans="1:6" x14ac:dyDescent="0.25">
      <c r="A79" s="134"/>
      <c r="B79" s="134"/>
      <c r="C79" s="131"/>
      <c r="D79" s="131"/>
      <c r="E79" s="131"/>
      <c r="F79" s="131"/>
    </row>
    <row r="80" spans="1:6" x14ac:dyDescent="0.25">
      <c r="A80" s="28" t="s">
        <v>44</v>
      </c>
      <c r="B80" s="35">
        <v>6.7900000000000002E-2</v>
      </c>
      <c r="C80" s="133">
        <f>C78*B80</f>
        <v>350.55</v>
      </c>
      <c r="D80" s="133"/>
      <c r="E80" s="133">
        <f>C80*12</f>
        <v>4206.6000000000004</v>
      </c>
      <c r="F80" s="133"/>
    </row>
    <row r="81" spans="1:6" x14ac:dyDescent="0.25">
      <c r="A81" s="135" t="s">
        <v>45</v>
      </c>
      <c r="B81" s="135"/>
      <c r="C81" s="135"/>
      <c r="D81" s="135"/>
      <c r="E81" s="29"/>
      <c r="F81" s="30"/>
    </row>
    <row r="82" spans="1:6" x14ac:dyDescent="0.25">
      <c r="A82" s="130" t="s">
        <v>46</v>
      </c>
      <c r="B82" s="130"/>
      <c r="C82" s="136">
        <f>C80+C77+C75</f>
        <v>5513.22</v>
      </c>
      <c r="D82" s="136"/>
      <c r="E82" s="136">
        <f>E80+E77+E75</f>
        <v>66158.64</v>
      </c>
      <c r="F82" s="136"/>
    </row>
    <row r="83" spans="1:6" x14ac:dyDescent="0.25">
      <c r="A83" s="137" t="s">
        <v>47</v>
      </c>
      <c r="B83" s="138"/>
      <c r="C83" s="138"/>
      <c r="D83" s="138"/>
      <c r="E83" s="138"/>
      <c r="F83" s="139"/>
    </row>
    <row r="84" spans="1:6" x14ac:dyDescent="0.25">
      <c r="A84" s="31" t="s">
        <v>48</v>
      </c>
      <c r="B84" s="31"/>
      <c r="C84" s="132" t="s">
        <v>12</v>
      </c>
      <c r="D84" s="132"/>
      <c r="E84" s="132" t="s">
        <v>2</v>
      </c>
      <c r="F84" s="132"/>
    </row>
    <row r="85" spans="1:6" x14ac:dyDescent="0.25">
      <c r="A85" s="32" t="s">
        <v>49</v>
      </c>
      <c r="B85" s="35">
        <v>7.5999999999999998E-2</v>
      </c>
      <c r="C85" s="133">
        <f>($C$82)*B85/(1-($B$88))</f>
        <v>488.64</v>
      </c>
      <c r="D85" s="133"/>
      <c r="E85" s="133">
        <f>C85*12</f>
        <v>5863.68</v>
      </c>
      <c r="F85" s="133"/>
    </row>
    <row r="86" spans="1:6" x14ac:dyDescent="0.25">
      <c r="A86" s="32" t="s">
        <v>50</v>
      </c>
      <c r="B86" s="35">
        <v>1.6500000000000001E-2</v>
      </c>
      <c r="C86" s="133">
        <f t="shared" ref="C86:C87" si="9">($C$82)*B86/(1-($B$88))</f>
        <v>106.09</v>
      </c>
      <c r="D86" s="133"/>
      <c r="E86" s="133">
        <f t="shared" ref="E86:E87" si="10">C86*12</f>
        <v>1273.08</v>
      </c>
      <c r="F86" s="133"/>
    </row>
    <row r="87" spans="1:6" x14ac:dyDescent="0.25">
      <c r="A87" s="32" t="s">
        <v>53</v>
      </c>
      <c r="B87" s="35">
        <v>0.05</v>
      </c>
      <c r="C87" s="133">
        <f t="shared" si="9"/>
        <v>321.47000000000003</v>
      </c>
      <c r="D87" s="133"/>
      <c r="E87" s="133">
        <f t="shared" si="10"/>
        <v>3857.64</v>
      </c>
      <c r="F87" s="133"/>
    </row>
    <row r="88" spans="1:6" x14ac:dyDescent="0.25">
      <c r="A88" s="33" t="s">
        <v>51</v>
      </c>
      <c r="B88" s="34">
        <f>SUM(B85:B87)</f>
        <v>0.14249999999999999</v>
      </c>
      <c r="C88" s="133">
        <f>SUM(C85:D87)</f>
        <v>916.2</v>
      </c>
      <c r="D88" s="133"/>
      <c r="E88" s="144">
        <f>SUM(E85:F87)</f>
        <v>10994.4</v>
      </c>
      <c r="F88" s="145"/>
    </row>
    <row r="89" spans="1:6" x14ac:dyDescent="0.25">
      <c r="A89" s="146" t="s">
        <v>146</v>
      </c>
      <c r="B89" s="146"/>
      <c r="C89" s="140">
        <f>C77+C80+C88</f>
        <v>1417.12</v>
      </c>
      <c r="D89" s="140"/>
      <c r="E89" s="140">
        <f>C89*12</f>
        <v>17005.439999999999</v>
      </c>
      <c r="F89" s="140"/>
    </row>
    <row r="90" spans="1:6" x14ac:dyDescent="0.25">
      <c r="A90" s="141"/>
      <c r="B90" s="142"/>
      <c r="C90" s="142"/>
      <c r="D90" s="142"/>
      <c r="E90" s="142"/>
      <c r="F90" s="143"/>
    </row>
    <row r="91" spans="1:6" x14ac:dyDescent="0.25">
      <c r="A91" s="148" t="s">
        <v>54</v>
      </c>
      <c r="B91" s="151" t="s">
        <v>12</v>
      </c>
      <c r="C91" s="151"/>
      <c r="D91" s="152" t="s">
        <v>3</v>
      </c>
      <c r="E91" s="153"/>
      <c r="F91" s="154"/>
    </row>
    <row r="92" spans="1:6" x14ac:dyDescent="0.25">
      <c r="A92" s="149"/>
      <c r="B92" s="25" t="s">
        <v>5</v>
      </c>
      <c r="C92" s="26">
        <f>C34</f>
        <v>4691.21</v>
      </c>
      <c r="D92" s="25" t="s">
        <v>5</v>
      </c>
      <c r="E92" s="155">
        <f>D34</f>
        <v>56294.52</v>
      </c>
      <c r="F92" s="156"/>
    </row>
    <row r="93" spans="1:6" x14ac:dyDescent="0.25">
      <c r="A93" s="149"/>
      <c r="B93" s="25" t="s">
        <v>6</v>
      </c>
      <c r="C93" s="26">
        <f>C53</f>
        <v>321.08999999999997</v>
      </c>
      <c r="D93" s="25" t="s">
        <v>6</v>
      </c>
      <c r="E93" s="155">
        <f>D53</f>
        <v>3853.08</v>
      </c>
      <c r="F93" s="156"/>
    </row>
    <row r="94" spans="1:6" x14ac:dyDescent="0.25">
      <c r="A94" s="149"/>
      <c r="B94" s="25" t="s">
        <v>7</v>
      </c>
      <c r="C94" s="26">
        <f>C66</f>
        <v>72.34</v>
      </c>
      <c r="D94" s="25" t="s">
        <v>7</v>
      </c>
      <c r="E94" s="155">
        <f>F66</f>
        <v>868.08</v>
      </c>
      <c r="F94" s="156"/>
    </row>
    <row r="95" spans="1:6" x14ac:dyDescent="0.25">
      <c r="A95" s="149"/>
      <c r="B95" s="25" t="s">
        <v>8</v>
      </c>
      <c r="C95" s="26">
        <f>C89</f>
        <v>1417.12</v>
      </c>
      <c r="D95" s="25" t="s">
        <v>8</v>
      </c>
      <c r="E95" s="155">
        <f>E89</f>
        <v>17005.439999999999</v>
      </c>
      <c r="F95" s="156"/>
    </row>
    <row r="96" spans="1:6" x14ac:dyDescent="0.25">
      <c r="A96" s="149"/>
      <c r="B96" s="25" t="s">
        <v>147</v>
      </c>
      <c r="C96" s="26">
        <f>B71</f>
        <v>180.41</v>
      </c>
      <c r="D96" s="25" t="s">
        <v>147</v>
      </c>
      <c r="E96" s="155">
        <f>C71</f>
        <v>2164.92</v>
      </c>
      <c r="F96" s="156"/>
    </row>
    <row r="97" spans="1:6" x14ac:dyDescent="0.25">
      <c r="A97" s="150"/>
      <c r="B97" s="24" t="s">
        <v>12</v>
      </c>
      <c r="C97" s="27">
        <f>SUM(C92:C96)</f>
        <v>6682.17</v>
      </c>
      <c r="D97" s="24" t="s">
        <v>42</v>
      </c>
      <c r="E97" s="157">
        <f>SUM(E92:E96)</f>
        <v>80186.039999999994</v>
      </c>
      <c r="F97" s="158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ht="18" x14ac:dyDescent="0.25">
      <c r="A100" s="102" t="s">
        <v>130</v>
      </c>
      <c r="B100" s="103"/>
      <c r="C100" s="103"/>
      <c r="D100" s="104"/>
      <c r="E100" s="102">
        <v>2</v>
      </c>
      <c r="F100" s="104"/>
    </row>
    <row r="101" spans="1:6" ht="18" x14ac:dyDescent="0.25">
      <c r="A101" s="102" t="s">
        <v>131</v>
      </c>
      <c r="B101" s="103"/>
      <c r="C101" s="103"/>
      <c r="D101" s="104"/>
      <c r="E101" s="101">
        <f>C97*E100</f>
        <v>13364.34</v>
      </c>
      <c r="F101" s="101"/>
    </row>
    <row r="102" spans="1:6" ht="18" x14ac:dyDescent="0.25">
      <c r="A102" s="102" t="s">
        <v>132</v>
      </c>
      <c r="B102" s="103"/>
      <c r="C102" s="103"/>
      <c r="D102" s="104"/>
      <c r="E102" s="101">
        <f>E101*12</f>
        <v>160372.07999999999</v>
      </c>
      <c r="F102" s="101"/>
    </row>
  </sheetData>
  <mergeCells count="64">
    <mergeCell ref="A102:D102"/>
    <mergeCell ref="E102:F102"/>
    <mergeCell ref="A100:D100"/>
    <mergeCell ref="E100:F100"/>
    <mergeCell ref="A101:D101"/>
    <mergeCell ref="E101:F101"/>
    <mergeCell ref="A90:F90"/>
    <mergeCell ref="A91:A97"/>
    <mergeCell ref="B91:C91"/>
    <mergeCell ref="D91:F91"/>
    <mergeCell ref="E92:F92"/>
    <mergeCell ref="E93:F93"/>
    <mergeCell ref="E94:F94"/>
    <mergeCell ref="E95:F95"/>
    <mergeCell ref="E96:F96"/>
    <mergeCell ref="E97:F97"/>
    <mergeCell ref="C87:D87"/>
    <mergeCell ref="E87:F87"/>
    <mergeCell ref="C88:D88"/>
    <mergeCell ref="E88:F88"/>
    <mergeCell ref="A89:B89"/>
    <mergeCell ref="C89:D89"/>
    <mergeCell ref="E89:F89"/>
    <mergeCell ref="C86:D86"/>
    <mergeCell ref="E86:F86"/>
    <mergeCell ref="C80:D80"/>
    <mergeCell ref="E80:F80"/>
    <mergeCell ref="A81:D81"/>
    <mergeCell ref="A82:B82"/>
    <mergeCell ref="C82:D82"/>
    <mergeCell ref="E82:F82"/>
    <mergeCell ref="A83:F83"/>
    <mergeCell ref="C84:D84"/>
    <mergeCell ref="E84:F84"/>
    <mergeCell ref="C85:D85"/>
    <mergeCell ref="E85:F85"/>
    <mergeCell ref="A78:B79"/>
    <mergeCell ref="C78:D79"/>
    <mergeCell ref="E78:F79"/>
    <mergeCell ref="A66:B66"/>
    <mergeCell ref="D66:E66"/>
    <mergeCell ref="A67:F67"/>
    <mergeCell ref="A68:C68"/>
    <mergeCell ref="A73:F73"/>
    <mergeCell ref="A74:B74"/>
    <mergeCell ref="C74:D74"/>
    <mergeCell ref="E74:F74"/>
    <mergeCell ref="A75:B76"/>
    <mergeCell ref="C75:D76"/>
    <mergeCell ref="E75:F76"/>
    <mergeCell ref="C77:D77"/>
    <mergeCell ref="E77:F77"/>
    <mergeCell ref="A57:F57"/>
    <mergeCell ref="A1:E1"/>
    <mergeCell ref="A2:E2"/>
    <mergeCell ref="A3:E3"/>
    <mergeCell ref="C5:C8"/>
    <mergeCell ref="D5:D8"/>
    <mergeCell ref="E5:E8"/>
    <mergeCell ref="A9:D9"/>
    <mergeCell ref="A34:B34"/>
    <mergeCell ref="A36:D36"/>
    <mergeCell ref="A53:B53"/>
    <mergeCell ref="A55:F55"/>
  </mergeCells>
  <pageMargins left="0.511811024" right="0.511811024" top="0.78740157499999996" bottom="0.78740157499999996" header="0.31496062000000002" footer="0.31496062000000002"/>
  <pageSetup paperSize="9" scale="82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AE06-C27F-4E20-BE9F-2F941B7CD2F8}">
  <sheetPr>
    <pageSetUpPr fitToPage="1"/>
  </sheetPr>
  <dimension ref="A1:F104"/>
  <sheetViews>
    <sheetView workbookViewId="0">
      <selection activeCell="G16" sqref="G16"/>
    </sheetView>
  </sheetViews>
  <sheetFormatPr defaultRowHeight="15" x14ac:dyDescent="0.25"/>
  <cols>
    <col min="1" max="1" width="45.140625" customWidth="1"/>
    <col min="2" max="3" width="12" customWidth="1"/>
    <col min="4" max="4" width="14" customWidth="1"/>
    <col min="5" max="5" width="13.140625" customWidth="1"/>
    <col min="6" max="6" width="15.140625" customWidth="1"/>
  </cols>
  <sheetData>
    <row r="1" spans="1:6" ht="23.25" customHeight="1" x14ac:dyDescent="0.25">
      <c r="A1" s="107" t="s">
        <v>148</v>
      </c>
      <c r="B1" s="108"/>
      <c r="C1" s="108"/>
      <c r="D1" s="108"/>
      <c r="E1" s="109"/>
      <c r="F1" s="1"/>
    </row>
    <row r="2" spans="1:6" ht="36" customHeight="1" x14ac:dyDescent="0.25">
      <c r="A2" s="107" t="s">
        <v>149</v>
      </c>
      <c r="B2" s="108"/>
      <c r="C2" s="108"/>
      <c r="D2" s="108"/>
      <c r="E2" s="109"/>
      <c r="F2" s="1"/>
    </row>
    <row r="3" spans="1:6" x14ac:dyDescent="0.25">
      <c r="A3" s="110" t="s">
        <v>23</v>
      </c>
      <c r="B3" s="110"/>
      <c r="C3" s="110"/>
      <c r="D3" s="110"/>
      <c r="E3" s="110"/>
      <c r="F3" s="1"/>
    </row>
    <row r="4" spans="1:6" ht="24" x14ac:dyDescent="0.25">
      <c r="A4" s="8" t="s">
        <v>11</v>
      </c>
      <c r="B4" s="15" t="s">
        <v>113</v>
      </c>
      <c r="C4" s="15" t="s">
        <v>129</v>
      </c>
      <c r="D4" s="15" t="s">
        <v>12</v>
      </c>
      <c r="E4" s="15" t="s">
        <v>2</v>
      </c>
      <c r="F4" s="1"/>
    </row>
    <row r="5" spans="1:6" x14ac:dyDescent="0.25">
      <c r="A5" s="4" t="s">
        <v>142</v>
      </c>
      <c r="B5" s="6">
        <f>1764</f>
        <v>1764</v>
      </c>
      <c r="C5" s="113">
        <v>1</v>
      </c>
      <c r="D5" s="114">
        <f>SUM(B5:B10)*C5</f>
        <v>2953.31</v>
      </c>
      <c r="E5" s="114">
        <f>D5*12</f>
        <v>35439.72</v>
      </c>
      <c r="F5" s="1"/>
    </row>
    <row r="6" spans="1:6" x14ac:dyDescent="0.25">
      <c r="A6" s="4" t="s">
        <v>112</v>
      </c>
      <c r="B6" s="6">
        <f>122</f>
        <v>122</v>
      </c>
      <c r="C6" s="113"/>
      <c r="D6" s="114"/>
      <c r="E6" s="114"/>
      <c r="F6" s="1"/>
    </row>
    <row r="7" spans="1:6" ht="24" x14ac:dyDescent="0.25">
      <c r="A7" s="4" t="s">
        <v>175</v>
      </c>
      <c r="B7" s="6">
        <v>58</v>
      </c>
      <c r="C7" s="113"/>
      <c r="D7" s="114"/>
      <c r="E7" s="114"/>
      <c r="F7" s="1"/>
    </row>
    <row r="8" spans="1:6" x14ac:dyDescent="0.25">
      <c r="A8" s="65" t="s">
        <v>176</v>
      </c>
      <c r="B8" s="6">
        <f>1518*40%</f>
        <v>607.20000000000005</v>
      </c>
      <c r="C8" s="113"/>
      <c r="D8" s="114"/>
      <c r="E8" s="114"/>
      <c r="F8" s="1"/>
    </row>
    <row r="9" spans="1:6" x14ac:dyDescent="0.25">
      <c r="A9" s="77" t="s">
        <v>177</v>
      </c>
      <c r="B9" s="6">
        <f>9*((B5/220)*20%)*15</f>
        <v>216.49</v>
      </c>
      <c r="C9" s="113"/>
      <c r="D9" s="114"/>
      <c r="E9" s="114"/>
      <c r="F9" s="1"/>
    </row>
    <row r="10" spans="1:6" x14ac:dyDescent="0.25">
      <c r="A10" s="77" t="s">
        <v>178</v>
      </c>
      <c r="B10" s="6">
        <f>(9*1.1429-9)*(B5/220*1.2)*15</f>
        <v>185.62</v>
      </c>
      <c r="C10" s="113"/>
      <c r="D10" s="114"/>
      <c r="E10" s="114"/>
      <c r="F10" s="1"/>
    </row>
    <row r="11" spans="1:6" x14ac:dyDescent="0.25">
      <c r="A11" s="111"/>
      <c r="B11" s="112"/>
      <c r="C11" s="112"/>
      <c r="D11" s="112"/>
      <c r="E11" s="53"/>
      <c r="F11" s="1"/>
    </row>
    <row r="12" spans="1:6" ht="24" x14ac:dyDescent="0.25">
      <c r="A12" s="8" t="s">
        <v>13</v>
      </c>
      <c r="B12" s="15" t="s">
        <v>1</v>
      </c>
      <c r="C12" s="15" t="s">
        <v>12</v>
      </c>
      <c r="D12" s="15" t="s">
        <v>2</v>
      </c>
      <c r="E12" s="40"/>
      <c r="F12" s="1"/>
    </row>
    <row r="13" spans="1:6" x14ac:dyDescent="0.25">
      <c r="A13" s="4" t="s">
        <v>20</v>
      </c>
      <c r="B13" s="5">
        <v>8.3299999999999999E-2</v>
      </c>
      <c r="C13" s="6">
        <f>B13*$D$5</f>
        <v>246.01</v>
      </c>
      <c r="D13" s="6">
        <f>B13*$E$5</f>
        <v>2952.13</v>
      </c>
      <c r="E13" s="54"/>
      <c r="F13" s="37"/>
    </row>
    <row r="14" spans="1:6" ht="36" x14ac:dyDescent="0.25">
      <c r="A14" s="4" t="s">
        <v>102</v>
      </c>
      <c r="B14" s="5">
        <v>2.7799999999999998E-2</v>
      </c>
      <c r="C14" s="6">
        <f>B14*$D$5</f>
        <v>82.1</v>
      </c>
      <c r="D14" s="6">
        <f>B14*$E$5</f>
        <v>985.22</v>
      </c>
      <c r="E14" s="37"/>
      <c r="F14" s="37"/>
    </row>
    <row r="15" spans="1:6" x14ac:dyDescent="0.25">
      <c r="A15" s="15" t="s">
        <v>14</v>
      </c>
      <c r="B15" s="16">
        <f>SUM(B13:B14)</f>
        <v>0.1111</v>
      </c>
      <c r="C15" s="17">
        <f>SUM(C13:C14)</f>
        <v>328.11</v>
      </c>
      <c r="D15" s="17">
        <f>C15*12</f>
        <v>3937.32</v>
      </c>
      <c r="E15" s="40"/>
      <c r="F15" s="40"/>
    </row>
    <row r="16" spans="1:6" x14ac:dyDescent="0.25">
      <c r="A16" s="52"/>
      <c r="B16" s="52"/>
      <c r="C16" s="52"/>
      <c r="D16" s="55"/>
      <c r="E16" s="53"/>
      <c r="F16" s="53"/>
    </row>
    <row r="17" spans="1:6" ht="24" x14ac:dyDescent="0.25">
      <c r="A17" s="8" t="s">
        <v>15</v>
      </c>
      <c r="B17" s="15" t="s">
        <v>1</v>
      </c>
      <c r="C17" s="15" t="s">
        <v>12</v>
      </c>
      <c r="D17" s="15" t="s">
        <v>2</v>
      </c>
      <c r="E17" s="37"/>
      <c r="F17" s="37"/>
    </row>
    <row r="18" spans="1:6" x14ac:dyDescent="0.25">
      <c r="A18" s="4" t="s">
        <v>21</v>
      </c>
      <c r="B18" s="5">
        <v>0.2</v>
      </c>
      <c r="C18" s="6">
        <f t="shared" ref="C18:C25" si="0">B18*$D$5</f>
        <v>590.66</v>
      </c>
      <c r="D18" s="6">
        <f t="shared" ref="D18:D25" si="1">B18*$E$5</f>
        <v>7087.94</v>
      </c>
      <c r="E18" s="54"/>
      <c r="F18" s="37"/>
    </row>
    <row r="19" spans="1:6" x14ac:dyDescent="0.25">
      <c r="A19" s="4" t="s">
        <v>57</v>
      </c>
      <c r="B19" s="5">
        <v>2.5000000000000001E-2</v>
      </c>
      <c r="C19" s="6">
        <f t="shared" si="0"/>
        <v>73.83</v>
      </c>
      <c r="D19" s="6">
        <f t="shared" si="1"/>
        <v>885.99</v>
      </c>
      <c r="E19" s="37"/>
      <c r="F19" s="37"/>
    </row>
    <row r="20" spans="1:6" x14ac:dyDescent="0.25">
      <c r="A20" s="4" t="s">
        <v>58</v>
      </c>
      <c r="B20" s="5">
        <v>0.03</v>
      </c>
      <c r="C20" s="6">
        <f t="shared" si="0"/>
        <v>88.6</v>
      </c>
      <c r="D20" s="6">
        <f t="shared" si="1"/>
        <v>1063.19</v>
      </c>
      <c r="E20" s="37"/>
      <c r="F20" s="37"/>
    </row>
    <row r="21" spans="1:6" x14ac:dyDescent="0.25">
      <c r="A21" s="4" t="s">
        <v>59</v>
      </c>
      <c r="B21" s="5">
        <v>1.4999999999999999E-2</v>
      </c>
      <c r="C21" s="6">
        <f t="shared" si="0"/>
        <v>44.3</v>
      </c>
      <c r="D21" s="6">
        <f t="shared" si="1"/>
        <v>531.6</v>
      </c>
      <c r="E21" s="37"/>
      <c r="F21" s="37"/>
    </row>
    <row r="22" spans="1:6" x14ac:dyDescent="0.25">
      <c r="A22" s="4" t="s">
        <v>60</v>
      </c>
      <c r="B22" s="5">
        <v>0.01</v>
      </c>
      <c r="C22" s="6">
        <f t="shared" si="0"/>
        <v>29.53</v>
      </c>
      <c r="D22" s="6">
        <f t="shared" si="1"/>
        <v>354.4</v>
      </c>
      <c r="E22" s="37"/>
      <c r="F22" s="37"/>
    </row>
    <row r="23" spans="1:6" x14ac:dyDescent="0.25">
      <c r="A23" s="4" t="s">
        <v>61</v>
      </c>
      <c r="B23" s="5">
        <v>6.0000000000000001E-3</v>
      </c>
      <c r="C23" s="6">
        <f t="shared" si="0"/>
        <v>17.72</v>
      </c>
      <c r="D23" s="6">
        <f t="shared" si="1"/>
        <v>212.64</v>
      </c>
      <c r="E23" s="37"/>
      <c r="F23" s="37"/>
    </row>
    <row r="24" spans="1:6" x14ac:dyDescent="0.25">
      <c r="A24" s="4" t="s">
        <v>62</v>
      </c>
      <c r="B24" s="5">
        <v>2E-3</v>
      </c>
      <c r="C24" s="6">
        <f t="shared" si="0"/>
        <v>5.91</v>
      </c>
      <c r="D24" s="6">
        <f t="shared" si="1"/>
        <v>70.88</v>
      </c>
      <c r="E24" s="37"/>
      <c r="F24" s="37"/>
    </row>
    <row r="25" spans="1:6" x14ac:dyDescent="0.25">
      <c r="A25" s="4" t="s">
        <v>63</v>
      </c>
      <c r="B25" s="5">
        <v>0.08</v>
      </c>
      <c r="C25" s="6">
        <f t="shared" si="0"/>
        <v>236.26</v>
      </c>
      <c r="D25" s="6">
        <f t="shared" si="1"/>
        <v>2835.18</v>
      </c>
      <c r="E25" s="37"/>
      <c r="F25" s="37"/>
    </row>
    <row r="26" spans="1:6" x14ac:dyDescent="0.25">
      <c r="A26" s="15" t="s">
        <v>16</v>
      </c>
      <c r="B26" s="16">
        <f>SUM(B18:B25)</f>
        <v>0.36799999999999999</v>
      </c>
      <c r="C26" s="17">
        <f>SUM(C18:C25)</f>
        <v>1086.81</v>
      </c>
      <c r="D26" s="17">
        <f>C26*12</f>
        <v>13041.72</v>
      </c>
      <c r="E26" s="40"/>
      <c r="F26" s="40"/>
    </row>
    <row r="27" spans="1:6" x14ac:dyDescent="0.25">
      <c r="A27" s="53"/>
      <c r="B27" s="53"/>
      <c r="C27" s="53"/>
      <c r="D27" s="53"/>
      <c r="E27" s="53"/>
      <c r="F27" s="53"/>
    </row>
    <row r="28" spans="1:6" ht="24" x14ac:dyDescent="0.25">
      <c r="A28" s="8" t="s">
        <v>94</v>
      </c>
      <c r="B28" s="15" t="s">
        <v>22</v>
      </c>
      <c r="C28" s="15" t="s">
        <v>12</v>
      </c>
      <c r="D28" s="15" t="s">
        <v>2</v>
      </c>
      <c r="E28" s="41"/>
      <c r="F28" s="1"/>
    </row>
    <row r="29" spans="1:6" ht="24" x14ac:dyDescent="0.25">
      <c r="A29" s="4" t="s">
        <v>93</v>
      </c>
      <c r="B29" s="60">
        <f>(3.8*24*2)-B5*0.06</f>
        <v>76.56</v>
      </c>
      <c r="C29" s="6">
        <f t="shared" ref="C29:C30" si="2">B29*(SUM($C$5:$C$5))</f>
        <v>76.56</v>
      </c>
      <c r="D29" s="6">
        <f>C29*12</f>
        <v>918.72</v>
      </c>
      <c r="E29" s="41"/>
      <c r="F29" s="1"/>
    </row>
    <row r="30" spans="1:6" x14ac:dyDescent="0.25">
      <c r="A30" s="4" t="s">
        <v>17</v>
      </c>
      <c r="B30" s="60">
        <f>805*80%</f>
        <v>644</v>
      </c>
      <c r="C30" s="6">
        <f t="shared" si="2"/>
        <v>644</v>
      </c>
      <c r="D30" s="6">
        <f t="shared" ref="D30:D33" si="3">C30*12</f>
        <v>7728</v>
      </c>
      <c r="E30" s="41"/>
      <c r="F30" s="37"/>
    </row>
    <row r="31" spans="1:6" x14ac:dyDescent="0.25">
      <c r="A31" s="4" t="s">
        <v>18</v>
      </c>
      <c r="B31" s="60">
        <v>87.5</v>
      </c>
      <c r="C31" s="6">
        <v>87.5</v>
      </c>
      <c r="D31" s="6">
        <f t="shared" si="3"/>
        <v>1050</v>
      </c>
      <c r="E31" s="41"/>
      <c r="F31" s="37"/>
    </row>
    <row r="32" spans="1:6" x14ac:dyDescent="0.25">
      <c r="A32" s="4" t="s">
        <v>19</v>
      </c>
      <c r="B32" s="60">
        <v>28</v>
      </c>
      <c r="C32" s="6">
        <v>28</v>
      </c>
      <c r="D32" s="6">
        <f t="shared" si="3"/>
        <v>336</v>
      </c>
      <c r="E32" s="41"/>
      <c r="F32" s="37"/>
    </row>
    <row r="33" spans="1:6" x14ac:dyDescent="0.25">
      <c r="A33" s="61" t="s">
        <v>91</v>
      </c>
      <c r="B33" s="62">
        <v>28</v>
      </c>
      <c r="C33" s="63">
        <v>28</v>
      </c>
      <c r="D33" s="64">
        <f t="shared" si="3"/>
        <v>336</v>
      </c>
      <c r="E33" s="41"/>
      <c r="F33" s="40"/>
    </row>
    <row r="34" spans="1:6" x14ac:dyDescent="0.25">
      <c r="A34" s="65" t="s">
        <v>88</v>
      </c>
      <c r="B34" s="66">
        <f>(805*80%)</f>
        <v>644</v>
      </c>
      <c r="C34" s="69">
        <f>B34/12</f>
        <v>53.667000000000002</v>
      </c>
      <c r="D34" s="63">
        <f>C34*12</f>
        <v>644</v>
      </c>
      <c r="E34" s="41"/>
      <c r="F34" s="40"/>
    </row>
    <row r="35" spans="1:6" x14ac:dyDescent="0.25">
      <c r="A35" s="67" t="s">
        <v>89</v>
      </c>
      <c r="B35" s="68">
        <f>SUM(B29:B34)</f>
        <v>1508.06</v>
      </c>
      <c r="C35" s="68">
        <f>SUM(C29:C34)</f>
        <v>917.73</v>
      </c>
      <c r="D35" s="68">
        <f>C35*12</f>
        <v>11012.76</v>
      </c>
      <c r="E35" s="40"/>
      <c r="F35" s="40"/>
    </row>
    <row r="36" spans="1:6" ht="24.75" customHeight="1" x14ac:dyDescent="0.25">
      <c r="A36" s="105" t="s">
        <v>4</v>
      </c>
      <c r="B36" s="106"/>
      <c r="C36" s="48">
        <f>D5+C15+C26+C35</f>
        <v>5285.96</v>
      </c>
      <c r="D36" s="48">
        <f>SUM(E5+D15+D26+D35)</f>
        <v>63431.519999999997</v>
      </c>
      <c r="E36" s="40"/>
      <c r="F36" s="40"/>
    </row>
    <row r="37" spans="1:6" x14ac:dyDescent="0.25">
      <c r="A37" s="40"/>
      <c r="B37" s="40"/>
      <c r="C37" s="40"/>
      <c r="D37" s="40"/>
      <c r="E37" s="40"/>
      <c r="F37" s="40"/>
    </row>
    <row r="38" spans="1:6" x14ac:dyDescent="0.25">
      <c r="A38" s="115" t="s">
        <v>31</v>
      </c>
      <c r="B38" s="115"/>
      <c r="C38" s="115"/>
      <c r="D38" s="115"/>
      <c r="E38" s="40"/>
      <c r="F38" s="40"/>
    </row>
    <row r="39" spans="1:6" ht="24" x14ac:dyDescent="0.25">
      <c r="A39" s="18" t="s">
        <v>30</v>
      </c>
      <c r="B39" s="19" t="s">
        <v>1</v>
      </c>
      <c r="C39" s="19" t="s">
        <v>12</v>
      </c>
      <c r="D39" s="19" t="s">
        <v>2</v>
      </c>
      <c r="E39" s="40"/>
      <c r="F39" s="40"/>
    </row>
    <row r="40" spans="1:6" x14ac:dyDescent="0.25">
      <c r="A40" s="10" t="s">
        <v>24</v>
      </c>
      <c r="B40" s="13">
        <v>4.1999999999999997E-3</v>
      </c>
      <c r="C40" s="11">
        <f t="shared" ref="C40:C45" si="4">B40*$D$5</f>
        <v>12.4</v>
      </c>
      <c r="D40" s="11">
        <f t="shared" ref="D40:D45" si="5">B40*$E$5</f>
        <v>148.85</v>
      </c>
      <c r="E40" s="37"/>
      <c r="F40" s="1"/>
    </row>
    <row r="41" spans="1:6" x14ac:dyDescent="0.25">
      <c r="A41" s="10" t="s">
        <v>25</v>
      </c>
      <c r="B41" s="14">
        <v>3.3E-4</v>
      </c>
      <c r="C41" s="11">
        <f t="shared" si="4"/>
        <v>0.97</v>
      </c>
      <c r="D41" s="11">
        <f t="shared" si="5"/>
        <v>11.7</v>
      </c>
      <c r="E41" s="37"/>
      <c r="F41" s="1"/>
    </row>
    <row r="42" spans="1:6" x14ac:dyDescent="0.25">
      <c r="A42" s="10" t="s">
        <v>26</v>
      </c>
      <c r="B42" s="14">
        <v>1.6000000000000001E-4</v>
      </c>
      <c r="C42" s="11">
        <f t="shared" si="4"/>
        <v>0.47</v>
      </c>
      <c r="D42" s="11">
        <f t="shared" si="5"/>
        <v>5.67</v>
      </c>
      <c r="E42" s="37"/>
      <c r="F42" s="1"/>
    </row>
    <row r="43" spans="1:6" x14ac:dyDescent="0.25">
      <c r="A43" s="10" t="s">
        <v>27</v>
      </c>
      <c r="B43" s="13">
        <v>1.9400000000000001E-2</v>
      </c>
      <c r="C43" s="11">
        <f t="shared" si="4"/>
        <v>57.29</v>
      </c>
      <c r="D43" s="11">
        <f t="shared" si="5"/>
        <v>687.53</v>
      </c>
      <c r="E43" s="37"/>
      <c r="F43" s="1"/>
    </row>
    <row r="44" spans="1:6" ht="24" x14ac:dyDescent="0.25">
      <c r="A44" s="10" t="s">
        <v>28</v>
      </c>
      <c r="B44" s="13">
        <f>B43*B26</f>
        <v>7.1000000000000004E-3</v>
      </c>
      <c r="C44" s="11">
        <f t="shared" si="4"/>
        <v>20.97</v>
      </c>
      <c r="D44" s="11">
        <f t="shared" si="5"/>
        <v>251.62</v>
      </c>
      <c r="E44" s="37"/>
      <c r="F44" s="1"/>
    </row>
    <row r="45" spans="1:6" x14ac:dyDescent="0.25">
      <c r="A45" s="10" t="s">
        <v>29</v>
      </c>
      <c r="B45" s="14">
        <v>7.6999999999999996E-4</v>
      </c>
      <c r="C45" s="11">
        <f t="shared" si="4"/>
        <v>2.27</v>
      </c>
      <c r="D45" s="11">
        <f t="shared" si="5"/>
        <v>27.29</v>
      </c>
      <c r="E45" s="37"/>
      <c r="F45" s="1"/>
    </row>
    <row r="46" spans="1:6" x14ac:dyDescent="0.25">
      <c r="A46" s="19" t="s">
        <v>38</v>
      </c>
      <c r="B46" s="20">
        <f>SUM(B40:B45)</f>
        <v>3.2000000000000001E-2</v>
      </c>
      <c r="C46" s="21">
        <f>SUM(C40:C45)</f>
        <v>94.37</v>
      </c>
      <c r="D46" s="21">
        <f>C46*12</f>
        <v>1132.44</v>
      </c>
      <c r="E46" s="40"/>
      <c r="F46" s="40"/>
    </row>
    <row r="47" spans="1:6" x14ac:dyDescent="0.25">
      <c r="A47" s="49"/>
      <c r="B47" s="50"/>
      <c r="C47" s="50"/>
      <c r="D47" s="50"/>
      <c r="E47" s="40"/>
      <c r="F47" s="40"/>
    </row>
    <row r="48" spans="1:6" ht="24" x14ac:dyDescent="0.25">
      <c r="A48" s="18" t="s">
        <v>32</v>
      </c>
      <c r="B48" s="19" t="s">
        <v>1</v>
      </c>
      <c r="C48" s="19" t="s">
        <v>12</v>
      </c>
      <c r="D48" s="19" t="s">
        <v>2</v>
      </c>
      <c r="E48" s="39"/>
      <c r="F48" s="39"/>
    </row>
    <row r="49" spans="1:6" x14ac:dyDescent="0.25">
      <c r="A49" s="10" t="s">
        <v>33</v>
      </c>
      <c r="B49" s="13">
        <v>8.3299999999999999E-2</v>
      </c>
      <c r="C49" s="11">
        <f>B49*$D$5</f>
        <v>246.01</v>
      </c>
      <c r="D49" s="11">
        <f>B49*$E$5</f>
        <v>2952.13</v>
      </c>
      <c r="E49" s="37"/>
      <c r="F49" s="37"/>
    </row>
    <row r="50" spans="1:6" x14ac:dyDescent="0.25">
      <c r="A50" s="10" t="s">
        <v>34</v>
      </c>
      <c r="B50" s="13">
        <v>8.0000000000000004E-4</v>
      </c>
      <c r="C50" s="11">
        <f>B50*$D$5</f>
        <v>2.36</v>
      </c>
      <c r="D50" s="11">
        <f>B50*$E$5</f>
        <v>28.35</v>
      </c>
      <c r="E50" s="37"/>
      <c r="F50" s="37"/>
    </row>
    <row r="51" spans="1:6" ht="24" x14ac:dyDescent="0.25">
      <c r="A51" s="10" t="s">
        <v>35</v>
      </c>
      <c r="B51" s="13">
        <v>2.9999999999999997E-4</v>
      </c>
      <c r="C51" s="11">
        <f>B51*$D$5</f>
        <v>0.89</v>
      </c>
      <c r="D51" s="11">
        <f>B51*$E$5</f>
        <v>10.63</v>
      </c>
      <c r="E51" s="37"/>
      <c r="F51" s="37"/>
    </row>
    <row r="52" spans="1:6" ht="24" x14ac:dyDescent="0.25">
      <c r="A52" s="10" t="s">
        <v>36</v>
      </c>
      <c r="B52" s="13">
        <v>1.2999999999999999E-3</v>
      </c>
      <c r="C52" s="11">
        <f>B52*$D$5</f>
        <v>3.84</v>
      </c>
      <c r="D52" s="11">
        <f>B52*$E$5</f>
        <v>46.07</v>
      </c>
      <c r="E52" s="37"/>
      <c r="F52" s="37"/>
    </row>
    <row r="53" spans="1:6" x14ac:dyDescent="0.25">
      <c r="A53" s="10" t="s">
        <v>37</v>
      </c>
      <c r="B53" s="13">
        <v>8.2000000000000007E-3</v>
      </c>
      <c r="C53" s="11">
        <f>B53*$D$5</f>
        <v>24.22</v>
      </c>
      <c r="D53" s="11">
        <f>B53*$E$5</f>
        <v>290.61</v>
      </c>
      <c r="E53" s="37"/>
      <c r="F53" s="37"/>
    </row>
    <row r="54" spans="1:6" x14ac:dyDescent="0.25">
      <c r="A54" s="19" t="s">
        <v>39</v>
      </c>
      <c r="B54" s="20">
        <f>SUM(B49:B53)</f>
        <v>9.3899999999999997E-2</v>
      </c>
      <c r="C54" s="21">
        <f>SUM(C49:C53)</f>
        <v>277.32</v>
      </c>
      <c r="D54" s="21">
        <f>C54*12</f>
        <v>3327.84</v>
      </c>
      <c r="E54" s="39"/>
      <c r="F54" s="39"/>
    </row>
    <row r="55" spans="1:6" ht="30.75" customHeight="1" x14ac:dyDescent="0.25">
      <c r="A55" s="116" t="s">
        <v>40</v>
      </c>
      <c r="B55" s="117"/>
      <c r="C55" s="46">
        <f>SUM(C46+C54)</f>
        <v>371.69</v>
      </c>
      <c r="D55" s="47">
        <f>SUM(D46+D54)</f>
        <v>4460.28</v>
      </c>
      <c r="E55" s="39"/>
      <c r="F55" s="39"/>
    </row>
    <row r="56" spans="1:6" x14ac:dyDescent="0.25">
      <c r="A56" s="49"/>
      <c r="B56" s="50"/>
      <c r="C56" s="50"/>
      <c r="D56" s="50"/>
      <c r="E56" s="51"/>
      <c r="F56" s="51"/>
    </row>
    <row r="57" spans="1:6" x14ac:dyDescent="0.25">
      <c r="A57" s="118" t="s">
        <v>115</v>
      </c>
      <c r="B57" s="119"/>
      <c r="C57" s="119"/>
      <c r="D57" s="119"/>
      <c r="E57" s="119"/>
      <c r="F57" s="120"/>
    </row>
    <row r="58" spans="1:6" ht="24" x14ac:dyDescent="0.25">
      <c r="A58" s="22" t="s">
        <v>116</v>
      </c>
      <c r="B58" s="23" t="s">
        <v>90</v>
      </c>
      <c r="C58" s="23" t="s">
        <v>104</v>
      </c>
      <c r="D58" s="23" t="s">
        <v>0</v>
      </c>
      <c r="E58" s="23" t="s">
        <v>12</v>
      </c>
      <c r="F58" s="23" t="s">
        <v>2</v>
      </c>
    </row>
    <row r="59" spans="1:6" x14ac:dyDescent="0.25">
      <c r="A59" s="121" t="s">
        <v>95</v>
      </c>
      <c r="B59" s="122"/>
      <c r="C59" s="122"/>
      <c r="D59" s="122"/>
      <c r="E59" s="122"/>
      <c r="F59" s="123"/>
    </row>
    <row r="60" spans="1:6" x14ac:dyDescent="0.25">
      <c r="A60" s="9" t="s">
        <v>117</v>
      </c>
      <c r="B60" s="2">
        <v>2</v>
      </c>
      <c r="C60" s="45">
        <f>B60*$C$5</f>
        <v>2</v>
      </c>
      <c r="D60" s="58">
        <v>49.1</v>
      </c>
      <c r="E60" s="3">
        <f>D60*C60/12</f>
        <v>8.18</v>
      </c>
      <c r="F60" s="3">
        <f>D60*C60</f>
        <v>98.2</v>
      </c>
    </row>
    <row r="61" spans="1:6" x14ac:dyDescent="0.25">
      <c r="A61" s="9" t="s">
        <v>118</v>
      </c>
      <c r="B61" s="2">
        <v>2</v>
      </c>
      <c r="C61" s="45">
        <f t="shared" ref="C61:C67" si="6">B61*$C$5</f>
        <v>2</v>
      </c>
      <c r="D61" s="58">
        <v>19.899999999999999</v>
      </c>
      <c r="E61" s="3">
        <f>D61*C61/12</f>
        <v>3.32</v>
      </c>
      <c r="F61" s="3">
        <f t="shared" ref="F61:F67" si="7">D61*C61</f>
        <v>39.799999999999997</v>
      </c>
    </row>
    <row r="62" spans="1:6" x14ac:dyDescent="0.25">
      <c r="A62" s="9" t="s">
        <v>119</v>
      </c>
      <c r="B62" s="2">
        <v>2</v>
      </c>
      <c r="C62" s="45">
        <f t="shared" si="6"/>
        <v>2</v>
      </c>
      <c r="D62" s="58">
        <v>65.38</v>
      </c>
      <c r="E62" s="3">
        <f t="shared" ref="E62:E67" si="8">D62*C62/12</f>
        <v>10.9</v>
      </c>
      <c r="F62" s="3">
        <f t="shared" si="7"/>
        <v>130.76</v>
      </c>
    </row>
    <row r="63" spans="1:6" x14ac:dyDescent="0.25">
      <c r="A63" s="9" t="s">
        <v>120</v>
      </c>
      <c r="B63" s="2">
        <v>2</v>
      </c>
      <c r="C63" s="45">
        <f t="shared" si="6"/>
        <v>2</v>
      </c>
      <c r="D63" s="58">
        <v>27.85</v>
      </c>
      <c r="E63" s="3">
        <f t="shared" si="8"/>
        <v>4.6399999999999997</v>
      </c>
      <c r="F63" s="3">
        <f t="shared" si="7"/>
        <v>55.7</v>
      </c>
    </row>
    <row r="64" spans="1:6" x14ac:dyDescent="0.25">
      <c r="A64" s="9" t="s">
        <v>121</v>
      </c>
      <c r="B64" s="2">
        <v>24</v>
      </c>
      <c r="C64" s="45">
        <f t="shared" si="6"/>
        <v>24</v>
      </c>
      <c r="D64" s="58">
        <v>12.9</v>
      </c>
      <c r="E64" s="3">
        <f t="shared" si="8"/>
        <v>25.8</v>
      </c>
      <c r="F64" s="3">
        <f t="shared" si="7"/>
        <v>309.60000000000002</v>
      </c>
    </row>
    <row r="65" spans="1:6" x14ac:dyDescent="0.25">
      <c r="A65" s="9" t="s">
        <v>122</v>
      </c>
      <c r="B65" s="2">
        <v>2</v>
      </c>
      <c r="C65" s="45">
        <f t="shared" si="6"/>
        <v>2</v>
      </c>
      <c r="D65" s="59">
        <v>73</v>
      </c>
      <c r="E65" s="3">
        <f t="shared" si="8"/>
        <v>12.17</v>
      </c>
      <c r="F65" s="3">
        <f t="shared" si="7"/>
        <v>146</v>
      </c>
    </row>
    <row r="66" spans="1:6" x14ac:dyDescent="0.25">
      <c r="A66" s="9" t="s">
        <v>123</v>
      </c>
      <c r="B66" s="2">
        <v>1</v>
      </c>
      <c r="C66" s="45">
        <f t="shared" si="6"/>
        <v>1</v>
      </c>
      <c r="D66" s="58">
        <v>37.9</v>
      </c>
      <c r="E66" s="3">
        <f t="shared" si="8"/>
        <v>3.16</v>
      </c>
      <c r="F66" s="3">
        <f t="shared" si="7"/>
        <v>37.9</v>
      </c>
    </row>
    <row r="67" spans="1:6" x14ac:dyDescent="0.25">
      <c r="A67" s="9" t="s">
        <v>124</v>
      </c>
      <c r="B67" s="2">
        <v>2</v>
      </c>
      <c r="C67" s="45">
        <f t="shared" si="6"/>
        <v>2</v>
      </c>
      <c r="D67" s="58">
        <v>25.02</v>
      </c>
      <c r="E67" s="3">
        <f t="shared" si="8"/>
        <v>4.17</v>
      </c>
      <c r="F67" s="3">
        <f t="shared" si="7"/>
        <v>50.04</v>
      </c>
    </row>
    <row r="68" spans="1:6" x14ac:dyDescent="0.25">
      <c r="A68" s="124" t="s">
        <v>96</v>
      </c>
      <c r="B68" s="124"/>
      <c r="C68" s="57">
        <f>SUM(E60:E67)</f>
        <v>72.34</v>
      </c>
      <c r="D68" s="125" t="s">
        <v>3</v>
      </c>
      <c r="E68" s="125"/>
      <c r="F68" s="56">
        <f>C68*12</f>
        <v>868.08</v>
      </c>
    </row>
    <row r="69" spans="1:6" x14ac:dyDescent="0.25">
      <c r="A69" s="127"/>
      <c r="B69" s="127"/>
      <c r="C69" s="127"/>
      <c r="D69" s="127"/>
      <c r="E69" s="127"/>
      <c r="F69" s="127"/>
    </row>
    <row r="70" spans="1:6" x14ac:dyDescent="0.25">
      <c r="A70" s="159" t="s">
        <v>143</v>
      </c>
      <c r="B70" s="159"/>
      <c r="C70" s="159"/>
      <c r="D70" s="70"/>
      <c r="E70" s="70"/>
      <c r="F70" s="70"/>
    </row>
    <row r="71" spans="1:6" ht="24" x14ac:dyDescent="0.25">
      <c r="A71" s="72" t="s">
        <v>32</v>
      </c>
      <c r="B71" s="71" t="s">
        <v>12</v>
      </c>
      <c r="C71" s="71" t="s">
        <v>2</v>
      </c>
      <c r="D71" s="70"/>
      <c r="E71" s="70"/>
      <c r="F71" s="1"/>
    </row>
    <row r="72" spans="1:6" ht="24" x14ac:dyDescent="0.25">
      <c r="A72" s="73" t="s">
        <v>144</v>
      </c>
      <c r="B72" s="74">
        <v>0</v>
      </c>
      <c r="C72" s="74">
        <f>B72*12</f>
        <v>0</v>
      </c>
      <c r="D72" s="70"/>
      <c r="E72" s="70"/>
      <c r="F72" s="1"/>
    </row>
    <row r="73" spans="1:6" x14ac:dyDescent="0.25">
      <c r="A73" s="75" t="s">
        <v>145</v>
      </c>
      <c r="B73" s="76">
        <f>B72</f>
        <v>0</v>
      </c>
      <c r="C73" s="76">
        <f>C72</f>
        <v>0</v>
      </c>
      <c r="D73" s="70"/>
      <c r="E73" s="70"/>
      <c r="F73" s="1"/>
    </row>
    <row r="74" spans="1:6" x14ac:dyDescent="0.25">
      <c r="A74" s="70"/>
      <c r="B74" s="70"/>
      <c r="C74" s="70"/>
      <c r="D74" s="70"/>
      <c r="E74" s="70"/>
      <c r="F74" s="70"/>
    </row>
    <row r="75" spans="1:6" x14ac:dyDescent="0.25">
      <c r="A75" s="126" t="s">
        <v>41</v>
      </c>
      <c r="B75" s="126"/>
      <c r="C75" s="126"/>
      <c r="D75" s="126"/>
      <c r="E75" s="126"/>
      <c r="F75" s="126"/>
    </row>
    <row r="76" spans="1:6" x14ac:dyDescent="0.25">
      <c r="A76" s="128" t="s">
        <v>41</v>
      </c>
      <c r="B76" s="128" t="s">
        <v>43</v>
      </c>
      <c r="C76" s="129" t="s">
        <v>12</v>
      </c>
      <c r="D76" s="129"/>
      <c r="E76" s="129" t="s">
        <v>2</v>
      </c>
      <c r="F76" s="129"/>
    </row>
    <row r="77" spans="1:6" x14ac:dyDescent="0.25">
      <c r="A77" s="130" t="s">
        <v>99</v>
      </c>
      <c r="B77" s="130"/>
      <c r="C77" s="131">
        <f>SUM(C36,C55)</f>
        <v>5657.65</v>
      </c>
      <c r="D77" s="131"/>
      <c r="E77" s="131">
        <f>C77*12</f>
        <v>67891.8</v>
      </c>
      <c r="F77" s="131"/>
    </row>
    <row r="78" spans="1:6" x14ac:dyDescent="0.25">
      <c r="A78" s="130"/>
      <c r="B78" s="130"/>
      <c r="C78" s="131"/>
      <c r="D78" s="131"/>
      <c r="E78" s="131"/>
      <c r="F78" s="131"/>
    </row>
    <row r="79" spans="1:6" x14ac:dyDescent="0.25">
      <c r="A79" s="28" t="s">
        <v>52</v>
      </c>
      <c r="B79" s="35">
        <v>0.03</v>
      </c>
      <c r="C79" s="133">
        <f>C77*B79</f>
        <v>169.73</v>
      </c>
      <c r="D79" s="133"/>
      <c r="E79" s="133">
        <f>C79*12</f>
        <v>2036.76</v>
      </c>
      <c r="F79" s="133"/>
    </row>
    <row r="80" spans="1:6" x14ac:dyDescent="0.25">
      <c r="A80" s="134" t="s">
        <v>100</v>
      </c>
      <c r="B80" s="134"/>
      <c r="C80" s="131">
        <f>C77+C79</f>
        <v>5827.38</v>
      </c>
      <c r="D80" s="131"/>
      <c r="E80" s="131">
        <f>E77+E79</f>
        <v>69928.56</v>
      </c>
      <c r="F80" s="131"/>
    </row>
    <row r="81" spans="1:6" x14ac:dyDescent="0.25">
      <c r="A81" s="134"/>
      <c r="B81" s="134"/>
      <c r="C81" s="131"/>
      <c r="D81" s="131"/>
      <c r="E81" s="131"/>
      <c r="F81" s="131"/>
    </row>
    <row r="82" spans="1:6" x14ac:dyDescent="0.25">
      <c r="A82" s="28" t="s">
        <v>44</v>
      </c>
      <c r="B82" s="35">
        <v>6.7900000000000002E-2</v>
      </c>
      <c r="C82" s="133">
        <f>C80*B82</f>
        <v>395.68</v>
      </c>
      <c r="D82" s="133"/>
      <c r="E82" s="133">
        <f>C82*12</f>
        <v>4748.16</v>
      </c>
      <c r="F82" s="133"/>
    </row>
    <row r="83" spans="1:6" x14ac:dyDescent="0.25">
      <c r="A83" s="135" t="s">
        <v>45</v>
      </c>
      <c r="B83" s="135"/>
      <c r="C83" s="135"/>
      <c r="D83" s="135"/>
      <c r="E83" s="29"/>
      <c r="F83" s="30"/>
    </row>
    <row r="84" spans="1:6" x14ac:dyDescent="0.25">
      <c r="A84" s="130" t="s">
        <v>46</v>
      </c>
      <c r="B84" s="130"/>
      <c r="C84" s="136">
        <f>C82+C79+C77</f>
        <v>6223.06</v>
      </c>
      <c r="D84" s="136"/>
      <c r="E84" s="136">
        <f>E82+E79+E77</f>
        <v>74676.72</v>
      </c>
      <c r="F84" s="136"/>
    </row>
    <row r="85" spans="1:6" x14ac:dyDescent="0.25">
      <c r="A85" s="137" t="s">
        <v>47</v>
      </c>
      <c r="B85" s="138"/>
      <c r="C85" s="138"/>
      <c r="D85" s="138"/>
      <c r="E85" s="138"/>
      <c r="F85" s="139"/>
    </row>
    <row r="86" spans="1:6" x14ac:dyDescent="0.25">
      <c r="A86" s="31" t="s">
        <v>48</v>
      </c>
      <c r="B86" s="31"/>
      <c r="C86" s="132" t="s">
        <v>12</v>
      </c>
      <c r="D86" s="132"/>
      <c r="E86" s="132" t="s">
        <v>2</v>
      </c>
      <c r="F86" s="132"/>
    </row>
    <row r="87" spans="1:6" x14ac:dyDescent="0.25">
      <c r="A87" s="32" t="s">
        <v>49</v>
      </c>
      <c r="B87" s="35">
        <v>7.5999999999999998E-2</v>
      </c>
      <c r="C87" s="133">
        <f>($C$84)*B87/(1-($B$90))</f>
        <v>551.54999999999995</v>
      </c>
      <c r="D87" s="133"/>
      <c r="E87" s="133">
        <f>C87*12</f>
        <v>6618.6</v>
      </c>
      <c r="F87" s="133"/>
    </row>
    <row r="88" spans="1:6" x14ac:dyDescent="0.25">
      <c r="A88" s="32" t="s">
        <v>50</v>
      </c>
      <c r="B88" s="35">
        <v>1.6500000000000001E-2</v>
      </c>
      <c r="C88" s="133">
        <f t="shared" ref="C88:C89" si="9">($C$84)*B88/(1-($B$90))</f>
        <v>119.74</v>
      </c>
      <c r="D88" s="133"/>
      <c r="E88" s="133">
        <f t="shared" ref="E88:E89" si="10">C88*12</f>
        <v>1436.88</v>
      </c>
      <c r="F88" s="133"/>
    </row>
    <row r="89" spans="1:6" x14ac:dyDescent="0.25">
      <c r="A89" s="32" t="s">
        <v>53</v>
      </c>
      <c r="B89" s="35">
        <v>0.05</v>
      </c>
      <c r="C89" s="133">
        <f t="shared" si="9"/>
        <v>362.86</v>
      </c>
      <c r="D89" s="133"/>
      <c r="E89" s="133">
        <f t="shared" si="10"/>
        <v>4354.32</v>
      </c>
      <c r="F89" s="133"/>
    </row>
    <row r="90" spans="1:6" x14ac:dyDescent="0.25">
      <c r="A90" s="33" t="s">
        <v>51</v>
      </c>
      <c r="B90" s="34">
        <f>SUM(B87:B89)</f>
        <v>0.14249999999999999</v>
      </c>
      <c r="C90" s="133">
        <f>SUM(C87:D89)</f>
        <v>1034.1500000000001</v>
      </c>
      <c r="D90" s="133"/>
      <c r="E90" s="144">
        <f>SUM(E87:F89)</f>
        <v>12409.8</v>
      </c>
      <c r="F90" s="145"/>
    </row>
    <row r="91" spans="1:6" x14ac:dyDescent="0.25">
      <c r="A91" s="146" t="s">
        <v>146</v>
      </c>
      <c r="B91" s="146"/>
      <c r="C91" s="140">
        <f>C79+C82+C90</f>
        <v>1599.56</v>
      </c>
      <c r="D91" s="140"/>
      <c r="E91" s="140">
        <f>C91*12</f>
        <v>19194.72</v>
      </c>
      <c r="F91" s="140"/>
    </row>
    <row r="92" spans="1:6" x14ac:dyDescent="0.25">
      <c r="A92" s="141"/>
      <c r="B92" s="142"/>
      <c r="C92" s="142"/>
      <c r="D92" s="142"/>
      <c r="E92" s="142"/>
      <c r="F92" s="143"/>
    </row>
    <row r="93" spans="1:6" x14ac:dyDescent="0.25">
      <c r="A93" s="148" t="s">
        <v>54</v>
      </c>
      <c r="B93" s="151" t="s">
        <v>12</v>
      </c>
      <c r="C93" s="151"/>
      <c r="D93" s="152" t="s">
        <v>3</v>
      </c>
      <c r="E93" s="153"/>
      <c r="F93" s="154"/>
    </row>
    <row r="94" spans="1:6" x14ac:dyDescent="0.25">
      <c r="A94" s="149"/>
      <c r="B94" s="25" t="s">
        <v>5</v>
      </c>
      <c r="C94" s="26">
        <f>C36</f>
        <v>5285.96</v>
      </c>
      <c r="D94" s="25" t="s">
        <v>5</v>
      </c>
      <c r="E94" s="155">
        <f>D36</f>
        <v>63431.519999999997</v>
      </c>
      <c r="F94" s="156"/>
    </row>
    <row r="95" spans="1:6" x14ac:dyDescent="0.25">
      <c r="A95" s="149"/>
      <c r="B95" s="25" t="s">
        <v>6</v>
      </c>
      <c r="C95" s="26">
        <f>C55</f>
        <v>371.69</v>
      </c>
      <c r="D95" s="25" t="s">
        <v>6</v>
      </c>
      <c r="E95" s="155">
        <f>D55</f>
        <v>4460.28</v>
      </c>
      <c r="F95" s="156"/>
    </row>
    <row r="96" spans="1:6" x14ac:dyDescent="0.25">
      <c r="A96" s="149"/>
      <c r="B96" s="25" t="s">
        <v>7</v>
      </c>
      <c r="C96" s="26">
        <f>C68</f>
        <v>72.34</v>
      </c>
      <c r="D96" s="25" t="s">
        <v>7</v>
      </c>
      <c r="E96" s="155">
        <f>F68</f>
        <v>868.08</v>
      </c>
      <c r="F96" s="156"/>
    </row>
    <row r="97" spans="1:6" x14ac:dyDescent="0.25">
      <c r="A97" s="149"/>
      <c r="B97" s="25" t="s">
        <v>8</v>
      </c>
      <c r="C97" s="26">
        <f>C91</f>
        <v>1599.56</v>
      </c>
      <c r="D97" s="25" t="s">
        <v>8</v>
      </c>
      <c r="E97" s="155">
        <f>E91</f>
        <v>19194.72</v>
      </c>
      <c r="F97" s="156"/>
    </row>
    <row r="98" spans="1:6" x14ac:dyDescent="0.25">
      <c r="A98" s="149"/>
      <c r="B98" s="25" t="s">
        <v>147</v>
      </c>
      <c r="C98" s="26">
        <f>B73</f>
        <v>0</v>
      </c>
      <c r="D98" s="25" t="s">
        <v>147</v>
      </c>
      <c r="E98" s="155">
        <f>C73</f>
        <v>0</v>
      </c>
      <c r="F98" s="156"/>
    </row>
    <row r="99" spans="1:6" x14ac:dyDescent="0.25">
      <c r="A99" s="150"/>
      <c r="B99" s="24" t="s">
        <v>12</v>
      </c>
      <c r="C99" s="27">
        <f>SUM(C94:C98)</f>
        <v>7329.55</v>
      </c>
      <c r="D99" s="24" t="s">
        <v>42</v>
      </c>
      <c r="E99" s="157">
        <f>SUM(E94:E98)</f>
        <v>87954.6</v>
      </c>
      <c r="F99" s="158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ht="18" x14ac:dyDescent="0.25">
      <c r="A102" s="102" t="s">
        <v>130</v>
      </c>
      <c r="B102" s="103"/>
      <c r="C102" s="103"/>
      <c r="D102" s="104"/>
      <c r="E102" s="102">
        <v>2</v>
      </c>
      <c r="F102" s="104"/>
    </row>
    <row r="103" spans="1:6" ht="18" x14ac:dyDescent="0.25">
      <c r="A103" s="102" t="s">
        <v>131</v>
      </c>
      <c r="B103" s="103"/>
      <c r="C103" s="103"/>
      <c r="D103" s="104"/>
      <c r="E103" s="101">
        <f>C99*E102</f>
        <v>14659.1</v>
      </c>
      <c r="F103" s="101"/>
    </row>
    <row r="104" spans="1:6" ht="18" x14ac:dyDescent="0.25">
      <c r="A104" s="102" t="s">
        <v>132</v>
      </c>
      <c r="B104" s="103"/>
      <c r="C104" s="103"/>
      <c r="D104" s="104"/>
      <c r="E104" s="101">
        <f>E103*12</f>
        <v>175909.2</v>
      </c>
      <c r="F104" s="101"/>
    </row>
  </sheetData>
  <mergeCells count="64">
    <mergeCell ref="A104:D104"/>
    <mergeCell ref="E104:F104"/>
    <mergeCell ref="A102:D102"/>
    <mergeCell ref="E102:F102"/>
    <mergeCell ref="A103:D103"/>
    <mergeCell ref="E103:F103"/>
    <mergeCell ref="A92:F92"/>
    <mergeCell ref="A93:A99"/>
    <mergeCell ref="B93:C93"/>
    <mergeCell ref="D93:F93"/>
    <mergeCell ref="E94:F94"/>
    <mergeCell ref="E95:F95"/>
    <mergeCell ref="E96:F96"/>
    <mergeCell ref="E97:F97"/>
    <mergeCell ref="E98:F98"/>
    <mergeCell ref="E99:F99"/>
    <mergeCell ref="C89:D89"/>
    <mergeCell ref="E89:F89"/>
    <mergeCell ref="C90:D90"/>
    <mergeCell ref="E90:F90"/>
    <mergeCell ref="A91:B91"/>
    <mergeCell ref="C91:D91"/>
    <mergeCell ref="E91:F91"/>
    <mergeCell ref="C88:D88"/>
    <mergeCell ref="E88:F88"/>
    <mergeCell ref="C82:D82"/>
    <mergeCell ref="E82:F82"/>
    <mergeCell ref="A83:D83"/>
    <mergeCell ref="A84:B84"/>
    <mergeCell ref="C84:D84"/>
    <mergeCell ref="E84:F84"/>
    <mergeCell ref="A85:F85"/>
    <mergeCell ref="C86:D86"/>
    <mergeCell ref="E86:F86"/>
    <mergeCell ref="C87:D87"/>
    <mergeCell ref="E87:F87"/>
    <mergeCell ref="A80:B81"/>
    <mergeCell ref="C80:D81"/>
    <mergeCell ref="E80:F81"/>
    <mergeCell ref="A68:B68"/>
    <mergeCell ref="D68:E68"/>
    <mergeCell ref="A69:F69"/>
    <mergeCell ref="A70:C70"/>
    <mergeCell ref="A75:F75"/>
    <mergeCell ref="A76:B76"/>
    <mergeCell ref="C76:D76"/>
    <mergeCell ref="E76:F76"/>
    <mergeCell ref="A77:B78"/>
    <mergeCell ref="C77:D78"/>
    <mergeCell ref="E77:F78"/>
    <mergeCell ref="C79:D79"/>
    <mergeCell ref="E79:F79"/>
    <mergeCell ref="A59:F59"/>
    <mergeCell ref="A1:E1"/>
    <mergeCell ref="A2:E2"/>
    <mergeCell ref="A3:E3"/>
    <mergeCell ref="C5:C10"/>
    <mergeCell ref="D5:D10"/>
    <mergeCell ref="E5:E10"/>
    <mergeCell ref="A11:D11"/>
    <mergeCell ref="A36:B36"/>
    <mergeCell ref="A38:D38"/>
    <mergeCell ref="A55:B55"/>
    <mergeCell ref="A57:F57"/>
  </mergeCells>
  <pageMargins left="0.511811024" right="0.511811024" top="0.78740157499999996" bottom="0.78740157499999996" header="0.31496062000000002" footer="0.31496062000000002"/>
  <pageSetup paperSize="9" scale="82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3818-005E-4034-B5DB-12954229DB35}">
  <sheetPr>
    <pageSetUpPr fitToPage="1"/>
  </sheetPr>
  <dimension ref="A1:G62"/>
  <sheetViews>
    <sheetView workbookViewId="0">
      <selection activeCell="B9" sqref="B9:G9"/>
    </sheetView>
  </sheetViews>
  <sheetFormatPr defaultRowHeight="15" x14ac:dyDescent="0.25"/>
  <cols>
    <col min="1" max="1" width="37.7109375" customWidth="1"/>
    <col min="2" max="2" width="12" customWidth="1"/>
    <col min="3" max="3" width="8.140625" customWidth="1"/>
    <col min="4" max="4" width="9.42578125" customWidth="1"/>
    <col min="5" max="5" width="13.140625" customWidth="1"/>
    <col min="6" max="6" width="5.7109375" customWidth="1"/>
    <col min="7" max="7" width="9.42578125" customWidth="1"/>
  </cols>
  <sheetData>
    <row r="1" spans="1:7" ht="12.75" customHeight="1" x14ac:dyDescent="0.25">
      <c r="A1" s="110" t="s">
        <v>101</v>
      </c>
      <c r="B1" s="110"/>
      <c r="C1" s="110"/>
      <c r="D1" s="110"/>
      <c r="E1" s="110"/>
      <c r="F1" s="110"/>
      <c r="G1" s="110"/>
    </row>
    <row r="2" spans="1:7" ht="9.75" customHeight="1" x14ac:dyDescent="0.25">
      <c r="A2" s="110"/>
      <c r="B2" s="110"/>
      <c r="C2" s="110"/>
      <c r="D2" s="110"/>
      <c r="E2" s="110"/>
      <c r="F2" s="110"/>
      <c r="G2" s="110"/>
    </row>
    <row r="3" spans="1:7" x14ac:dyDescent="0.25">
      <c r="A3" s="110" t="s">
        <v>23</v>
      </c>
      <c r="B3" s="110"/>
      <c r="C3" s="110"/>
      <c r="D3" s="110"/>
      <c r="E3" s="110"/>
      <c r="F3" s="110"/>
      <c r="G3" s="110"/>
    </row>
    <row r="4" spans="1:7" ht="19.5" customHeight="1" x14ac:dyDescent="0.25">
      <c r="A4" s="161" t="s">
        <v>11</v>
      </c>
      <c r="B4" s="161"/>
      <c r="C4" s="161"/>
      <c r="D4" s="161"/>
      <c r="E4" s="161"/>
      <c r="F4" s="161"/>
      <c r="G4" s="161"/>
    </row>
    <row r="5" spans="1:7" ht="19.5" customHeight="1" x14ac:dyDescent="0.25">
      <c r="A5" s="4" t="s">
        <v>126</v>
      </c>
      <c r="B5" s="162" t="s">
        <v>125</v>
      </c>
      <c r="C5" s="162"/>
      <c r="D5" s="162"/>
      <c r="E5" s="162"/>
      <c r="F5" s="162"/>
      <c r="G5" s="162"/>
    </row>
    <row r="6" spans="1:7" ht="19.5" customHeight="1" x14ac:dyDescent="0.25">
      <c r="A6" s="4" t="s">
        <v>112</v>
      </c>
      <c r="B6" s="162" t="s">
        <v>125</v>
      </c>
      <c r="C6" s="162"/>
      <c r="D6" s="162"/>
      <c r="E6" s="162"/>
      <c r="F6" s="162"/>
      <c r="G6" s="162"/>
    </row>
    <row r="7" spans="1:7" ht="24" x14ac:dyDescent="0.25">
      <c r="A7" s="4" t="s">
        <v>175</v>
      </c>
      <c r="B7" s="162" t="s">
        <v>179</v>
      </c>
      <c r="C7" s="162"/>
      <c r="D7" s="162"/>
      <c r="E7" s="162"/>
      <c r="F7" s="162"/>
      <c r="G7" s="162"/>
    </row>
    <row r="8" spans="1:7" ht="19.5" customHeight="1" x14ac:dyDescent="0.25">
      <c r="A8" s="65" t="s">
        <v>176</v>
      </c>
      <c r="B8" s="162" t="s">
        <v>171</v>
      </c>
      <c r="C8" s="162"/>
      <c r="D8" s="162"/>
      <c r="E8" s="162"/>
      <c r="F8" s="162"/>
      <c r="G8" s="162"/>
    </row>
    <row r="9" spans="1:7" ht="80.25" customHeight="1" x14ac:dyDescent="0.25">
      <c r="A9" s="77" t="s">
        <v>177</v>
      </c>
      <c r="B9" s="160" t="s">
        <v>150</v>
      </c>
      <c r="C9" s="160"/>
      <c r="D9" s="160"/>
      <c r="E9" s="160"/>
      <c r="F9" s="160"/>
      <c r="G9" s="160"/>
    </row>
    <row r="10" spans="1:7" ht="57.75" customHeight="1" x14ac:dyDescent="0.25">
      <c r="A10" s="77" t="s">
        <v>178</v>
      </c>
      <c r="B10" s="160" t="s">
        <v>151</v>
      </c>
      <c r="C10" s="160"/>
      <c r="D10" s="160"/>
      <c r="E10" s="160"/>
      <c r="F10" s="160"/>
      <c r="G10" s="160"/>
    </row>
    <row r="11" spans="1:7" ht="19.5" customHeight="1" x14ac:dyDescent="0.25">
      <c r="A11" s="163"/>
      <c r="B11" s="163"/>
      <c r="C11" s="163"/>
      <c r="D11" s="163"/>
      <c r="E11" s="163"/>
      <c r="F11" s="164"/>
      <c r="G11" s="1"/>
    </row>
    <row r="12" spans="1:7" ht="19.5" customHeight="1" x14ac:dyDescent="0.25">
      <c r="A12" s="161" t="s">
        <v>13</v>
      </c>
      <c r="B12" s="161"/>
      <c r="C12" s="161"/>
      <c r="D12" s="161"/>
      <c r="E12" s="161"/>
      <c r="F12" s="161"/>
      <c r="G12" s="161"/>
    </row>
    <row r="13" spans="1:7" ht="31.5" customHeight="1" x14ac:dyDescent="0.25">
      <c r="A13" s="4" t="s">
        <v>20</v>
      </c>
      <c r="B13" s="160" t="s">
        <v>55</v>
      </c>
      <c r="C13" s="160"/>
      <c r="D13" s="160"/>
      <c r="E13" s="160"/>
      <c r="F13" s="160"/>
      <c r="G13" s="160"/>
    </row>
    <row r="14" spans="1:7" ht="19.5" customHeight="1" x14ac:dyDescent="0.25">
      <c r="A14" s="4" t="s">
        <v>103</v>
      </c>
      <c r="B14" s="160" t="s">
        <v>56</v>
      </c>
      <c r="C14" s="160"/>
      <c r="D14" s="160"/>
      <c r="E14" s="160"/>
      <c r="F14" s="160"/>
      <c r="G14" s="160"/>
    </row>
    <row r="15" spans="1:7" ht="19.5" customHeight="1" x14ac:dyDescent="0.25">
      <c r="A15" s="163"/>
      <c r="B15" s="163"/>
      <c r="C15" s="163"/>
      <c r="D15" s="163"/>
      <c r="E15" s="163"/>
      <c r="F15" s="164"/>
      <c r="G15" s="1"/>
    </row>
    <row r="16" spans="1:7" ht="19.5" customHeight="1" x14ac:dyDescent="0.25">
      <c r="A16" s="161" t="s">
        <v>15</v>
      </c>
      <c r="B16" s="161"/>
      <c r="C16" s="161"/>
      <c r="D16" s="161"/>
      <c r="E16" s="161"/>
      <c r="F16" s="161"/>
      <c r="G16" s="161"/>
    </row>
    <row r="17" spans="1:7" ht="19.5" customHeight="1" x14ac:dyDescent="0.25">
      <c r="A17" s="4" t="s">
        <v>21</v>
      </c>
      <c r="B17" s="162" t="s">
        <v>64</v>
      </c>
      <c r="C17" s="162"/>
      <c r="D17" s="162"/>
      <c r="E17" s="162"/>
      <c r="F17" s="162"/>
      <c r="G17" s="162"/>
    </row>
    <row r="18" spans="1:7" ht="34.5" customHeight="1" x14ac:dyDescent="0.25">
      <c r="A18" s="4" t="s">
        <v>57</v>
      </c>
      <c r="B18" s="160" t="s">
        <v>65</v>
      </c>
      <c r="C18" s="160"/>
      <c r="D18" s="160"/>
      <c r="E18" s="160"/>
      <c r="F18" s="160"/>
      <c r="G18" s="160"/>
    </row>
    <row r="19" spans="1:7" ht="42" customHeight="1" x14ac:dyDescent="0.25">
      <c r="A19" s="4" t="s">
        <v>58</v>
      </c>
      <c r="B19" s="160" t="s">
        <v>66</v>
      </c>
      <c r="C19" s="160"/>
      <c r="D19" s="160"/>
      <c r="E19" s="160"/>
      <c r="F19" s="160"/>
      <c r="G19" s="160"/>
    </row>
    <row r="20" spans="1:7" ht="19.5" customHeight="1" x14ac:dyDescent="0.25">
      <c r="A20" s="4" t="s">
        <v>59</v>
      </c>
      <c r="B20" s="162" t="s">
        <v>67</v>
      </c>
      <c r="C20" s="162"/>
      <c r="D20" s="162"/>
      <c r="E20" s="162"/>
      <c r="F20" s="162"/>
      <c r="G20" s="162"/>
    </row>
    <row r="21" spans="1:7" ht="19.5" customHeight="1" x14ac:dyDescent="0.25">
      <c r="A21" s="4" t="s">
        <v>60</v>
      </c>
      <c r="B21" s="162" t="s">
        <v>68</v>
      </c>
      <c r="C21" s="162"/>
      <c r="D21" s="162"/>
      <c r="E21" s="162"/>
      <c r="F21" s="162"/>
      <c r="G21" s="162"/>
    </row>
    <row r="22" spans="1:7" ht="19.5" customHeight="1" x14ac:dyDescent="0.25">
      <c r="A22" s="4" t="s">
        <v>61</v>
      </c>
      <c r="B22" s="162" t="s">
        <v>69</v>
      </c>
      <c r="C22" s="162"/>
      <c r="D22" s="162"/>
      <c r="E22" s="162"/>
      <c r="F22" s="162"/>
      <c r="G22" s="162"/>
    </row>
    <row r="23" spans="1:7" ht="19.5" customHeight="1" x14ac:dyDescent="0.25">
      <c r="A23" s="4" t="s">
        <v>62</v>
      </c>
      <c r="B23" s="162" t="s">
        <v>70</v>
      </c>
      <c r="C23" s="162"/>
      <c r="D23" s="162"/>
      <c r="E23" s="162"/>
      <c r="F23" s="162"/>
      <c r="G23" s="162"/>
    </row>
    <row r="24" spans="1:7" ht="26.25" customHeight="1" x14ac:dyDescent="0.25">
      <c r="A24" s="4" t="s">
        <v>63</v>
      </c>
      <c r="B24" s="160" t="s">
        <v>71</v>
      </c>
      <c r="C24" s="160"/>
      <c r="D24" s="160"/>
      <c r="E24" s="160"/>
      <c r="F24" s="160"/>
      <c r="G24" s="160"/>
    </row>
    <row r="25" spans="1:7" ht="19.5" customHeight="1" x14ac:dyDescent="0.25">
      <c r="A25" s="12"/>
      <c r="B25" s="12"/>
      <c r="C25" s="12"/>
      <c r="D25" s="12"/>
      <c r="E25" s="12"/>
      <c r="F25" s="12"/>
      <c r="G25" s="1"/>
    </row>
    <row r="26" spans="1:7" ht="19.5" customHeight="1" x14ac:dyDescent="0.25">
      <c r="A26" s="161" t="s">
        <v>94</v>
      </c>
      <c r="B26" s="161"/>
      <c r="C26" s="161"/>
      <c r="D26" s="161"/>
      <c r="E26" s="161"/>
      <c r="F26" s="161"/>
      <c r="G26" s="161"/>
    </row>
    <row r="27" spans="1:7" ht="63.75" customHeight="1" x14ac:dyDescent="0.25">
      <c r="A27" s="4" t="s">
        <v>93</v>
      </c>
      <c r="B27" s="165" t="s">
        <v>92</v>
      </c>
      <c r="C27" s="165"/>
      <c r="D27" s="165"/>
      <c r="E27" s="165"/>
      <c r="F27" s="165"/>
      <c r="G27" s="165"/>
    </row>
    <row r="28" spans="1:7" ht="19.5" customHeight="1" x14ac:dyDescent="0.25">
      <c r="A28" s="4" t="s">
        <v>17</v>
      </c>
      <c r="B28" s="165" t="s">
        <v>128</v>
      </c>
      <c r="C28" s="165"/>
      <c r="D28" s="165"/>
      <c r="E28" s="165"/>
      <c r="F28" s="165"/>
      <c r="G28" s="165"/>
    </row>
    <row r="29" spans="1:7" ht="19.5" customHeight="1" x14ac:dyDescent="0.25">
      <c r="A29" s="4" t="s">
        <v>18</v>
      </c>
      <c r="B29" s="165" t="s">
        <v>105</v>
      </c>
      <c r="C29" s="165"/>
      <c r="D29" s="165"/>
      <c r="E29" s="165"/>
      <c r="F29" s="165"/>
      <c r="G29" s="165"/>
    </row>
    <row r="30" spans="1:7" ht="19.5" customHeight="1" x14ac:dyDescent="0.25">
      <c r="A30" s="4" t="s">
        <v>19</v>
      </c>
      <c r="B30" s="165" t="s">
        <v>106</v>
      </c>
      <c r="C30" s="165"/>
      <c r="D30" s="165"/>
      <c r="E30" s="165"/>
      <c r="F30" s="165"/>
      <c r="G30" s="165"/>
    </row>
    <row r="31" spans="1:7" ht="19.5" customHeight="1" x14ac:dyDescent="0.25">
      <c r="A31" s="44" t="s">
        <v>91</v>
      </c>
      <c r="B31" s="165" t="s">
        <v>107</v>
      </c>
      <c r="C31" s="165"/>
      <c r="D31" s="165"/>
      <c r="E31" s="165"/>
      <c r="F31" s="165"/>
      <c r="G31" s="165"/>
    </row>
    <row r="32" spans="1:7" ht="19.5" customHeight="1" x14ac:dyDescent="0.25">
      <c r="A32" s="4" t="s">
        <v>88</v>
      </c>
      <c r="B32" s="165" t="s">
        <v>108</v>
      </c>
      <c r="C32" s="165"/>
      <c r="D32" s="165"/>
      <c r="E32" s="165"/>
      <c r="F32" s="165"/>
      <c r="G32" s="165"/>
    </row>
    <row r="33" spans="1:7" ht="19.5" customHeight="1" x14ac:dyDescent="0.25">
      <c r="A33" s="127"/>
      <c r="B33" s="127"/>
      <c r="C33" s="127"/>
      <c r="D33" s="127"/>
      <c r="E33" s="127"/>
      <c r="F33" s="127"/>
      <c r="G33" s="1"/>
    </row>
    <row r="34" spans="1:7" ht="19.5" customHeight="1" x14ac:dyDescent="0.25">
      <c r="A34" s="115" t="s">
        <v>31</v>
      </c>
      <c r="B34" s="115"/>
      <c r="C34" s="115"/>
      <c r="D34" s="115"/>
      <c r="E34" s="115"/>
      <c r="F34" s="115"/>
      <c r="G34" s="115"/>
    </row>
    <row r="35" spans="1:7" ht="19.5" customHeight="1" x14ac:dyDescent="0.25">
      <c r="A35" s="166" t="s">
        <v>30</v>
      </c>
      <c r="B35" s="167"/>
      <c r="C35" s="167"/>
      <c r="D35" s="167"/>
      <c r="E35" s="167"/>
      <c r="F35" s="167"/>
      <c r="G35" s="167"/>
    </row>
    <row r="36" spans="1:7" ht="27.75" customHeight="1" x14ac:dyDescent="0.25">
      <c r="A36" s="10" t="s">
        <v>24</v>
      </c>
      <c r="B36" s="160" t="s">
        <v>72</v>
      </c>
      <c r="C36" s="160"/>
      <c r="D36" s="160"/>
      <c r="E36" s="160"/>
      <c r="F36" s="160"/>
      <c r="G36" s="160"/>
    </row>
    <row r="37" spans="1:7" ht="24" customHeight="1" x14ac:dyDescent="0.25">
      <c r="A37" s="10" t="s">
        <v>25</v>
      </c>
      <c r="B37" s="162" t="s">
        <v>73</v>
      </c>
      <c r="C37" s="162"/>
      <c r="D37" s="162"/>
      <c r="E37" s="162"/>
      <c r="F37" s="162"/>
      <c r="G37" s="162"/>
    </row>
    <row r="38" spans="1:7" ht="19.5" customHeight="1" x14ac:dyDescent="0.25">
      <c r="A38" s="10" t="s">
        <v>26</v>
      </c>
      <c r="B38" s="162" t="s">
        <v>74</v>
      </c>
      <c r="C38" s="162"/>
      <c r="D38" s="162"/>
      <c r="E38" s="162"/>
      <c r="F38" s="162"/>
      <c r="G38" s="162"/>
    </row>
    <row r="39" spans="1:7" ht="19.5" customHeight="1" x14ac:dyDescent="0.25">
      <c r="A39" s="10" t="s">
        <v>27</v>
      </c>
      <c r="B39" s="162" t="s">
        <v>75</v>
      </c>
      <c r="C39" s="162"/>
      <c r="D39" s="162"/>
      <c r="E39" s="162"/>
      <c r="F39" s="162"/>
      <c r="G39" s="162"/>
    </row>
    <row r="40" spans="1:7" ht="25.5" customHeight="1" x14ac:dyDescent="0.25">
      <c r="A40" s="10" t="s">
        <v>28</v>
      </c>
      <c r="B40" s="162" t="s">
        <v>76</v>
      </c>
      <c r="C40" s="162"/>
      <c r="D40" s="162"/>
      <c r="E40" s="162"/>
      <c r="F40" s="162"/>
      <c r="G40" s="162"/>
    </row>
    <row r="41" spans="1:7" ht="32.25" customHeight="1" x14ac:dyDescent="0.25">
      <c r="A41" s="10" t="s">
        <v>29</v>
      </c>
      <c r="B41" s="160" t="s">
        <v>77</v>
      </c>
      <c r="C41" s="160"/>
      <c r="D41" s="160"/>
      <c r="E41" s="160"/>
      <c r="F41" s="160"/>
      <c r="G41" s="160"/>
    </row>
    <row r="42" spans="1:7" ht="19.5" customHeight="1" x14ac:dyDescent="0.25">
      <c r="A42" s="169"/>
      <c r="B42" s="170"/>
      <c r="C42" s="170"/>
      <c r="D42" s="170"/>
      <c r="E42" s="127"/>
      <c r="F42" s="127"/>
      <c r="G42" s="12"/>
    </row>
    <row r="43" spans="1:7" ht="19.5" customHeight="1" x14ac:dyDescent="0.25">
      <c r="A43" s="171" t="s">
        <v>32</v>
      </c>
      <c r="B43" s="171"/>
      <c r="C43" s="171"/>
      <c r="D43" s="171"/>
      <c r="E43" s="171"/>
      <c r="F43" s="171"/>
      <c r="G43" s="171"/>
    </row>
    <row r="44" spans="1:7" ht="19.5" customHeight="1" x14ac:dyDescent="0.25">
      <c r="A44" s="10" t="s">
        <v>33</v>
      </c>
      <c r="B44" s="162" t="s">
        <v>78</v>
      </c>
      <c r="C44" s="162"/>
      <c r="D44" s="162"/>
      <c r="E44" s="162"/>
      <c r="F44" s="162"/>
      <c r="G44" s="162"/>
    </row>
    <row r="45" spans="1:7" ht="22.5" customHeight="1" x14ac:dyDescent="0.25">
      <c r="A45" s="10" t="s">
        <v>34</v>
      </c>
      <c r="B45" s="162" t="s">
        <v>79</v>
      </c>
      <c r="C45" s="162"/>
      <c r="D45" s="162"/>
      <c r="E45" s="162"/>
      <c r="F45" s="162"/>
      <c r="G45" s="162"/>
    </row>
    <row r="46" spans="1:7" ht="24" customHeight="1" x14ac:dyDescent="0.25">
      <c r="A46" s="10" t="s">
        <v>35</v>
      </c>
      <c r="B46" s="162" t="s">
        <v>80</v>
      </c>
      <c r="C46" s="162"/>
      <c r="D46" s="162"/>
      <c r="E46" s="162"/>
      <c r="F46" s="162"/>
      <c r="G46" s="162"/>
    </row>
    <row r="47" spans="1:7" ht="24" customHeight="1" x14ac:dyDescent="0.25">
      <c r="A47" s="10" t="s">
        <v>36</v>
      </c>
      <c r="B47" s="162" t="s">
        <v>79</v>
      </c>
      <c r="C47" s="162"/>
      <c r="D47" s="162"/>
      <c r="E47" s="162"/>
      <c r="F47" s="162"/>
      <c r="G47" s="162"/>
    </row>
    <row r="48" spans="1:7" ht="19.5" customHeight="1" x14ac:dyDescent="0.25">
      <c r="A48" s="10" t="s">
        <v>37</v>
      </c>
      <c r="B48" s="162" t="s">
        <v>81</v>
      </c>
      <c r="C48" s="162"/>
      <c r="D48" s="162"/>
      <c r="E48" s="162"/>
      <c r="F48" s="162"/>
      <c r="G48" s="162"/>
    </row>
    <row r="49" spans="1:7" ht="13.5" customHeight="1" x14ac:dyDescent="0.25">
      <c r="A49" s="172"/>
      <c r="B49" s="127"/>
      <c r="C49" s="127"/>
      <c r="D49" s="127"/>
      <c r="E49" s="127"/>
      <c r="F49" s="127"/>
      <c r="G49" s="1"/>
    </row>
    <row r="50" spans="1:7" ht="19.5" customHeight="1" x14ac:dyDescent="0.25">
      <c r="A50" s="173" t="s">
        <v>127</v>
      </c>
      <c r="B50" s="173"/>
      <c r="C50" s="173"/>
      <c r="D50" s="173"/>
      <c r="E50" s="173"/>
      <c r="F50" s="173"/>
      <c r="G50" s="173"/>
    </row>
    <row r="51" spans="1:7" ht="19.5" customHeight="1" x14ac:dyDescent="0.25">
      <c r="A51" s="168" t="s">
        <v>109</v>
      </c>
      <c r="B51" s="168"/>
      <c r="C51" s="168"/>
      <c r="D51" s="168"/>
      <c r="E51" s="168"/>
      <c r="F51" s="168"/>
      <c r="G51" s="168"/>
    </row>
    <row r="52" spans="1:7" ht="7.5" customHeight="1" x14ac:dyDescent="0.25">
      <c r="A52" s="127"/>
      <c r="B52" s="127"/>
      <c r="C52" s="127"/>
      <c r="D52" s="127"/>
      <c r="E52" s="127"/>
      <c r="F52" s="127"/>
      <c r="G52" s="1"/>
    </row>
    <row r="53" spans="1:7" ht="19.5" customHeight="1" x14ac:dyDescent="0.25">
      <c r="A53" s="159" t="s">
        <v>172</v>
      </c>
      <c r="B53" s="159"/>
      <c r="C53" s="159"/>
      <c r="D53" s="159"/>
      <c r="E53" s="159"/>
      <c r="F53" s="159"/>
      <c r="G53" s="159"/>
    </row>
    <row r="54" spans="1:7" ht="46.5" customHeight="1" x14ac:dyDescent="0.25">
      <c r="A54" s="168" t="s">
        <v>152</v>
      </c>
      <c r="B54" s="168"/>
      <c r="C54" s="168"/>
      <c r="D54" s="168"/>
      <c r="E54" s="168"/>
      <c r="F54" s="168"/>
      <c r="G54" s="168"/>
    </row>
    <row r="55" spans="1:7" ht="11.25" customHeight="1" x14ac:dyDescent="0.25">
      <c r="A55" s="70"/>
      <c r="B55" s="70"/>
      <c r="C55" s="70"/>
      <c r="D55" s="70"/>
      <c r="E55" s="70"/>
      <c r="F55" s="70"/>
      <c r="G55" s="1"/>
    </row>
    <row r="56" spans="1:7" x14ac:dyDescent="0.25">
      <c r="A56" s="126" t="s">
        <v>173</v>
      </c>
      <c r="B56" s="126"/>
      <c r="C56" s="126"/>
      <c r="D56" s="126"/>
      <c r="E56" s="126"/>
      <c r="F56" s="126"/>
      <c r="G56" s="126"/>
    </row>
    <row r="57" spans="1:7" ht="45.75" customHeight="1" x14ac:dyDescent="0.25">
      <c r="A57" s="28" t="s">
        <v>52</v>
      </c>
      <c r="B57" s="160" t="s">
        <v>87</v>
      </c>
      <c r="C57" s="160"/>
      <c r="D57" s="160"/>
      <c r="E57" s="160"/>
      <c r="F57" s="160"/>
      <c r="G57" s="160"/>
    </row>
    <row r="58" spans="1:7" x14ac:dyDescent="0.25">
      <c r="A58" s="28" t="s">
        <v>44</v>
      </c>
      <c r="B58" s="162" t="s">
        <v>82</v>
      </c>
      <c r="C58" s="162"/>
      <c r="D58" s="162"/>
      <c r="E58" s="162"/>
      <c r="F58" s="162"/>
      <c r="G58" s="162"/>
    </row>
    <row r="59" spans="1:7" x14ac:dyDescent="0.25">
      <c r="A59" s="31" t="s">
        <v>48</v>
      </c>
      <c r="B59" s="162" t="s">
        <v>83</v>
      </c>
      <c r="C59" s="162"/>
      <c r="D59" s="162"/>
      <c r="E59" s="162"/>
      <c r="F59" s="162"/>
      <c r="G59" s="162"/>
    </row>
    <row r="60" spans="1:7" x14ac:dyDescent="0.25">
      <c r="A60" s="32" t="s">
        <v>49</v>
      </c>
      <c r="B60" s="162" t="s">
        <v>84</v>
      </c>
      <c r="C60" s="162"/>
      <c r="D60" s="162"/>
      <c r="E60" s="162"/>
      <c r="F60" s="162"/>
      <c r="G60" s="162"/>
    </row>
    <row r="61" spans="1:7" x14ac:dyDescent="0.25">
      <c r="A61" s="32" t="s">
        <v>50</v>
      </c>
      <c r="B61" s="162" t="s">
        <v>85</v>
      </c>
      <c r="C61" s="162"/>
      <c r="D61" s="162"/>
      <c r="E61" s="162"/>
      <c r="F61" s="162"/>
      <c r="G61" s="162"/>
    </row>
    <row r="62" spans="1:7" x14ac:dyDescent="0.25">
      <c r="A62" s="32" t="s">
        <v>53</v>
      </c>
      <c r="B62" s="162" t="s">
        <v>86</v>
      </c>
      <c r="C62" s="162"/>
      <c r="D62" s="162"/>
      <c r="E62" s="162"/>
      <c r="F62" s="162"/>
      <c r="G62" s="162"/>
    </row>
  </sheetData>
  <mergeCells count="59">
    <mergeCell ref="B59:G59"/>
    <mergeCell ref="B60:G60"/>
    <mergeCell ref="B61:G61"/>
    <mergeCell ref="B62:G62"/>
    <mergeCell ref="A52:F52"/>
    <mergeCell ref="A53:G53"/>
    <mergeCell ref="A54:G54"/>
    <mergeCell ref="A56:G56"/>
    <mergeCell ref="B57:G57"/>
    <mergeCell ref="B58:G58"/>
    <mergeCell ref="A51:G51"/>
    <mergeCell ref="B40:G40"/>
    <mergeCell ref="B41:G41"/>
    <mergeCell ref="A42:F42"/>
    <mergeCell ref="A43:G43"/>
    <mergeCell ref="B44:G44"/>
    <mergeCell ref="B45:G45"/>
    <mergeCell ref="B46:G46"/>
    <mergeCell ref="B47:G47"/>
    <mergeCell ref="B48:G48"/>
    <mergeCell ref="A49:F49"/>
    <mergeCell ref="A50:G50"/>
    <mergeCell ref="B39:G39"/>
    <mergeCell ref="B28:G28"/>
    <mergeCell ref="B29:G29"/>
    <mergeCell ref="B30:G30"/>
    <mergeCell ref="B31:G31"/>
    <mergeCell ref="B32:G32"/>
    <mergeCell ref="A33:F33"/>
    <mergeCell ref="A34:G34"/>
    <mergeCell ref="A35:G35"/>
    <mergeCell ref="B36:G36"/>
    <mergeCell ref="B37:G37"/>
    <mergeCell ref="B38:G38"/>
    <mergeCell ref="B27:G27"/>
    <mergeCell ref="A15:F15"/>
    <mergeCell ref="A16:G16"/>
    <mergeCell ref="B17:G17"/>
    <mergeCell ref="B18:G18"/>
    <mergeCell ref="B19:G19"/>
    <mergeCell ref="B20:G20"/>
    <mergeCell ref="B21:G21"/>
    <mergeCell ref="B22:G22"/>
    <mergeCell ref="B23:G23"/>
    <mergeCell ref="B24:G24"/>
    <mergeCell ref="A26:G26"/>
    <mergeCell ref="B14:G14"/>
    <mergeCell ref="A1:G2"/>
    <mergeCell ref="A3:G3"/>
    <mergeCell ref="A4:G4"/>
    <mergeCell ref="B5:G5"/>
    <mergeCell ref="B6:G6"/>
    <mergeCell ref="B8:G8"/>
    <mergeCell ref="B9:G9"/>
    <mergeCell ref="B10:G10"/>
    <mergeCell ref="A11:F11"/>
    <mergeCell ref="A12:G12"/>
    <mergeCell ref="B13:G13"/>
    <mergeCell ref="B7:G7"/>
  </mergeCells>
  <phoneticPr fontId="25" type="noConversion"/>
  <pageMargins left="0.511811024" right="0.511811024" top="0.78740157499999996" bottom="0.78740157499999996" header="0.31496062000000002" footer="0.31496062000000002"/>
  <pageSetup paperSize="9"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H 7 Z U K K 3 K v S n A A A A + A A A A B I A H A B D b 2 5 m a W c v U G F j a 2 F n Z S 5 4 b W w g o h g A K K A U A A A A A A A A A A A A A A A A A A A A A A A A A A A A h Y / B C o I w H I d f R X Z 3 m 5 N K 5 O + E u i Z E Q X Q d u n S k U 9 x s v l u H H q l X S C i r W 8 f f x 3 f 4 f o / b H d K x q b 2 r 7 I 1 q d Y I C T J E n d d 4 W S p c J G u z Z j 1 D K Y S f y i y i l N 8 n a x K M p E l R Z 2 8 W E O O e w C 3 H b l 4 R R G p B T t j 3 k l W w E + s j q v + w r b a z Q u U Q c j q 8 Y z n A U 4 E U U B n i 1 Z E B m D J n S X 4 V N x Z g C + Y G w G W o 7 9 J J 3 1 l / v g c w T y P s F f w J Q S w M E F A A C A A g A P H 7 Z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x + 2 V A o i k e 4 D g A A A B E A A A A T A B w A R m 9 y b X V s Y X M v U 2 V j d G l v b j E u b S C i G A A o o B Q A A A A A A A A A A A A A A A A A A A A A A A A A A A A r T k 0 u y c z P U w i G 0 I b W A F B L A Q I t A B Q A A g A I A D x + 2 V C i t y r 0 p w A A A P g A A A A S A A A A A A A A A A A A A A A A A A A A A A B D b 2 5 m a W c v U G F j a 2 F n Z S 5 4 b W x Q S w E C L Q A U A A I A C A A 8 f t l Q D 8 r p q 6 Q A A A D p A A A A E w A A A A A A A A A A A A A A A A D z A A A A W 0 N v b n R l b n R f V H l w Z X N d L n h t b F B L A Q I t A B Q A A g A I A D x + 2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e h H e v w P L S J R K g 5 S P i u 2 X A A A A A A I A A A A A A B B m A A A A A Q A A I A A A A O z N j E N w 5 1 s t 4 b g e J l c g J G F e T Y 1 c P 8 w I e c A j b a Y C a M G c A A A A A A 6 A A A A A A g A A I A A A A F 7 f G T q j U K U U z p L s W + E J K U w C n A o Y k R h 4 q x F g F 7 x J c T u F U A A A A D 0 U k d T o V z 1 D 2 9 t m 6 b E 6 4 9 P x S h H I w u N s E a O S R k n 9 l h M B y r b K D y l i j I 0 u x K y r v q a x E l O G M Y 4 R Y z A a j 4 2 T j N j Z + J a B j P E B 8 s a C o f 5 J A e o h 8 z J U Q A A A A B / 9 8 I N E Z 2 W L r 6 n l s S 3 K s T n B 1 A 6 u H w 1 6 y S 4 b W N n v R 6 5 j 8 q G o C g h N d 4 T y U W u 0 J O 5 3 v n I u e 5 + n O T O E 9 q g J F I n q b I 4 = < / D a t a M a s h u p > 
</file>

<file path=customXml/itemProps1.xml><?xml version="1.0" encoding="utf-8"?>
<ds:datastoreItem xmlns:ds="http://schemas.openxmlformats.org/officeDocument/2006/customXml" ds:itemID="{EE3BFEDA-751E-46BB-950D-E216A59673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MAPA COMPARATIVO</vt:lpstr>
      <vt:lpstr>ITEM 01 - SERVENTE COPEIRA 40H</vt:lpstr>
      <vt:lpstr>ITEM 02 - SERVENTE COPEIRA 20H</vt:lpstr>
      <vt:lpstr>ITEM 03 - SERVENTE 40H</vt:lpstr>
      <vt:lpstr>ITEM 04 - SERVENTE 20H</vt:lpstr>
      <vt:lpstr>5-SERVENTE COPEIRA 12X36 DIA</vt:lpstr>
      <vt:lpstr>6-SERVENTE COPEIRA 12X36 NOITE</vt:lpstr>
      <vt:lpstr>EMBASAMENTO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helder</dc:creator>
  <cp:lastModifiedBy>compras2</cp:lastModifiedBy>
  <cp:lastPrinted>2025-03-17T19:38:20Z</cp:lastPrinted>
  <dcterms:created xsi:type="dcterms:W3CDTF">2020-06-25T15:41:18Z</dcterms:created>
  <dcterms:modified xsi:type="dcterms:W3CDTF">2025-05-13T16:19:48Z</dcterms:modified>
</cp:coreProperties>
</file>