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405" windowHeight="8925"/>
  </bookViews>
  <sheets>
    <sheet name="TRANSP.DEST.CLASSEII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2" i="5" l="1"/>
  <c r="M91" i="5"/>
  <c r="E117" i="5" l="1"/>
  <c r="M89" i="5"/>
  <c r="E123" i="5"/>
  <c r="E122" i="5"/>
  <c r="E121" i="5"/>
  <c r="E120" i="5"/>
  <c r="M158" i="5" l="1"/>
  <c r="F162" i="5" s="1"/>
  <c r="B150" i="5"/>
  <c r="B149" i="5"/>
  <c r="B148" i="5"/>
  <c r="B147" i="5"/>
  <c r="B146" i="5"/>
  <c r="M143" i="5"/>
  <c r="H151" i="5" s="1"/>
  <c r="E127" i="5"/>
  <c r="M135" i="5" s="1"/>
  <c r="M137" i="5" s="1"/>
  <c r="K123" i="5"/>
  <c r="M123" i="5" s="1"/>
  <c r="K122" i="5"/>
  <c r="M122" i="5" s="1"/>
  <c r="K121" i="5"/>
  <c r="M121" i="5" s="1"/>
  <c r="K120" i="5"/>
  <c r="M120" i="5" s="1"/>
  <c r="K119" i="5"/>
  <c r="M119" i="5" s="1"/>
  <c r="K118" i="5"/>
  <c r="M118" i="5" s="1"/>
  <c r="K117" i="5"/>
  <c r="M117" i="5" s="1"/>
  <c r="F110" i="5"/>
  <c r="M110" i="5" s="1"/>
  <c r="F109" i="5"/>
  <c r="M109" i="5" s="1"/>
  <c r="F108" i="5"/>
  <c r="M108" i="5" s="1"/>
  <c r="F107" i="5"/>
  <c r="M107" i="5" s="1"/>
  <c r="F106" i="5"/>
  <c r="M106" i="5" s="1"/>
  <c r="M104" i="5"/>
  <c r="M101" i="5"/>
  <c r="M100" i="5"/>
  <c r="M99" i="5"/>
  <c r="M98" i="5"/>
  <c r="M97" i="5"/>
  <c r="M96" i="5"/>
  <c r="M95" i="5"/>
  <c r="M93" i="5"/>
  <c r="H147" i="5"/>
  <c r="M74" i="5"/>
  <c r="M73" i="5"/>
  <c r="M71" i="5"/>
  <c r="F70" i="5"/>
  <c r="M70" i="5" s="1"/>
  <c r="M69" i="5"/>
  <c r="M61" i="5"/>
  <c r="M65" i="5"/>
  <c r="F72" i="5"/>
  <c r="M72" i="5" s="1"/>
  <c r="M56" i="5"/>
  <c r="M55" i="5"/>
  <c r="M53" i="5"/>
  <c r="F52" i="5"/>
  <c r="M52" i="5" s="1"/>
  <c r="M51" i="5"/>
  <c r="M47" i="5"/>
  <c r="M43" i="5"/>
  <c r="F32" i="5"/>
  <c r="F31" i="5"/>
  <c r="M30" i="5"/>
  <c r="F30" i="5"/>
  <c r="M25" i="5"/>
  <c r="M27" i="5" s="1"/>
  <c r="M22" i="5"/>
  <c r="M24" i="5" s="1"/>
  <c r="M20" i="5"/>
  <c r="M21" i="5" s="1"/>
  <c r="M18" i="5"/>
  <c r="M10" i="5"/>
  <c r="M11" i="5" s="1"/>
  <c r="I46" i="5" l="1"/>
  <c r="M46" i="5" s="1"/>
  <c r="I64" i="5"/>
  <c r="M64" i="5" s="1"/>
  <c r="M26" i="5"/>
  <c r="M111" i="5"/>
  <c r="M112" i="5" s="1"/>
  <c r="F54" i="5"/>
  <c r="M54" i="5" s="1"/>
  <c r="M134" i="5"/>
  <c r="M102" i="5"/>
  <c r="M103" i="5" s="1"/>
  <c r="I45" i="5"/>
  <c r="M45" i="5" s="1"/>
  <c r="M124" i="5"/>
  <c r="M125" i="5" s="1"/>
  <c r="H149" i="5" s="1"/>
  <c r="M33" i="5"/>
  <c r="I63" i="5"/>
  <c r="M63" i="5" s="1"/>
  <c r="M133" i="5"/>
  <c r="M23" i="5"/>
  <c r="M28" i="5" s="1"/>
  <c r="M48" i="5" l="1"/>
  <c r="M138" i="5"/>
  <c r="M113" i="5"/>
  <c r="H148" i="5" s="1"/>
  <c r="M66" i="5"/>
  <c r="M34" i="5"/>
  <c r="F67" i="5" s="1"/>
  <c r="H150" i="5" l="1"/>
  <c r="M139" i="5"/>
  <c r="M67" i="5"/>
  <c r="M68" i="5" s="1"/>
  <c r="F75" i="5" s="1"/>
  <c r="M75" i="5" s="1"/>
  <c r="I78" i="5" s="1"/>
  <c r="F49" i="5"/>
  <c r="M49" i="5" s="1"/>
  <c r="M50" i="5" s="1"/>
  <c r="F57" i="5" s="1"/>
  <c r="M57" i="5" s="1"/>
  <c r="I77" i="5" s="1"/>
  <c r="I79" i="5" l="1"/>
  <c r="M78" i="5" s="1"/>
  <c r="H146" i="5" l="1"/>
  <c r="H152" i="5" s="1"/>
  <c r="M77" i="5"/>
  <c r="M79" i="5" s="1"/>
  <c r="F153" i="5" l="1"/>
  <c r="H153" i="5"/>
  <c r="H154" i="5" s="1"/>
  <c r="K164" i="5" s="1"/>
  <c r="M147" i="5" l="1"/>
  <c r="M151" i="5"/>
  <c r="M149" i="5"/>
  <c r="M150" i="5"/>
  <c r="M146" i="5"/>
  <c r="M148" i="5"/>
  <c r="M153" i="5" l="1"/>
  <c r="M152" i="5"/>
  <c r="M154" i="5" l="1"/>
</calcChain>
</file>

<file path=xl/comments1.xml><?xml version="1.0" encoding="utf-8"?>
<comments xmlns="http://schemas.openxmlformats.org/spreadsheetml/2006/main">
  <authors>
    <author>Autor</author>
  </authors>
  <commentList>
    <comment ref="M9" authorId="0" shapeId="0">
      <text>
        <r>
          <rPr>
            <b/>
            <sz val="9"/>
            <color indexed="81"/>
            <rFont val="Segoe UI"/>
            <charset val="1"/>
          </rPr>
          <t>O ano 2022 tem: 53 sábados. 52 domingos. 53 fins de semana.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0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Segoe UI"/>
            <charset val="1"/>
          </rPr>
          <t>1/12(Um salário/Doze Meses)
+ 1/3 de Abono de Férias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2" authorId="0" shapeId="0">
      <text>
        <r>
          <rPr>
            <b/>
            <sz val="9"/>
            <color indexed="81"/>
            <rFont val="Segoe UI"/>
            <charset val="1"/>
          </rPr>
          <t>1/12(Um salário/Doze Meses)</t>
        </r>
        <r>
          <rPr>
            <sz val="9"/>
            <color indexed="81"/>
            <rFont val="Segoe UI"/>
            <charset val="1"/>
          </rPr>
          <t xml:space="preserve">
????</t>
        </r>
      </text>
    </comment>
    <comment ref="M23" authorId="0" shapeId="0">
      <text>
        <r>
          <rPr>
            <b/>
            <sz val="9"/>
            <color indexed="81"/>
            <rFont val="Segoe UI"/>
            <family val="2"/>
          </rPr>
          <t>Percentual de Incidência de Encargos Sociais x (1/12)(Um salário/Doze Meses)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M24" authorId="0" shapeId="0">
      <text>
        <r>
          <rPr>
            <b/>
            <sz val="9"/>
            <color indexed="81"/>
            <rFont val="Segoe UI"/>
            <family val="2"/>
          </rPr>
          <t>1/12(Um salário/Doze Meses) x Alíquota FGTS(8,0%) x % Multa(40,0%).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41" authorId="0" shapeId="0">
      <text>
        <r>
          <rPr>
            <sz val="9"/>
            <color indexed="81"/>
            <rFont val="Segoe UI"/>
            <charset val="1"/>
          </rPr>
          <t xml:space="preserve">Nesse campo incluir o fator de utilização do funcionário nessa operação:
Exemplo: 
1 dias/semana = Fator 0,2
2 dias/semana = Fator 0,4
3 dias/semana = Fator 0,6
4 dias/semana = Fator 0,8
5 dias semana = Fator 1,0
</t>
        </r>
      </text>
    </comment>
    <comment ref="N59" authorId="0" shapeId="0">
      <text>
        <r>
          <rPr>
            <sz val="9"/>
            <color indexed="81"/>
            <rFont val="Segoe UI"/>
            <family val="2"/>
          </rPr>
          <t>Nesse campo incluir o fator de utilização do funcionário nessa operação:
Exemplo: 
1 dias/semana = Fator 0,2
2 dias/semana = Fator 0,4
3 dias/semana = Fator 0,6
4 dias/semana = Fator 0,8
5 dias semana = Fator 1,0</t>
        </r>
      </text>
    </comment>
    <comment ref="F115" authorId="0" shapeId="0">
      <text>
        <r>
          <rPr>
            <sz val="9"/>
            <color indexed="81"/>
            <rFont val="Segoe UI"/>
            <family val="2"/>
          </rPr>
          <t xml:space="preserve">
Nesse campo incluir o fator de utilização do </t>
        </r>
        <r>
          <rPr>
            <b/>
            <u/>
            <sz val="9"/>
            <color indexed="81"/>
            <rFont val="Segoe UI"/>
            <family val="2"/>
          </rPr>
          <t>veículo</t>
        </r>
        <r>
          <rPr>
            <sz val="9"/>
            <color indexed="81"/>
            <rFont val="Segoe UI"/>
            <family val="2"/>
          </rPr>
          <t xml:space="preserve"> nessa operação:
Exemplo: 
1 dias/semana = Fator 0,2
2 dias/semana = Fator 0,4
3 dias/semana = Fator 0,6
4 dias/semana = Fator 0,8
5 dias semana = Fator 1,0</t>
        </r>
      </text>
    </comment>
  </commentList>
</comments>
</file>

<file path=xl/sharedStrings.xml><?xml version="1.0" encoding="utf-8"?>
<sst xmlns="http://schemas.openxmlformats.org/spreadsheetml/2006/main" count="209" uniqueCount="172">
  <si>
    <t>Dados para Base de Cálculo</t>
  </si>
  <si>
    <t>Valor</t>
  </si>
  <si>
    <t>Salário base Motorista CBO 7825-10</t>
  </si>
  <si>
    <t>Salário base Coletor CBO 5142-05</t>
  </si>
  <si>
    <t>Salário Mínimo Nacional</t>
  </si>
  <si>
    <t>Quantidade de dias no ano</t>
  </si>
  <si>
    <t>Quantidade de domingos no ano</t>
  </si>
  <si>
    <t>Quantidade de dias uteis no ano</t>
  </si>
  <si>
    <t>Quantidade de dias uteis no mês</t>
  </si>
  <si>
    <t>Básicos</t>
  </si>
  <si>
    <t>6- INCRA</t>
  </si>
  <si>
    <t>4- SESI ou SESC</t>
  </si>
  <si>
    <t>2- FGTS</t>
  </si>
  <si>
    <t>1- INSS</t>
  </si>
  <si>
    <t>5- Seguro acidente do trabalho</t>
  </si>
  <si>
    <t>3- Salário Educação</t>
  </si>
  <si>
    <t>7- SEBRAE</t>
  </si>
  <si>
    <t>8- SENAI ou SENAC</t>
  </si>
  <si>
    <t>Dias</t>
  </si>
  <si>
    <t>Indenizatórios</t>
  </si>
  <si>
    <t>2- Férias</t>
  </si>
  <si>
    <t>1- 13º Salário</t>
  </si>
  <si>
    <t>3 - Aviso prévio indenizado</t>
  </si>
  <si>
    <t>6- Aviso prévio trabalhado</t>
  </si>
  <si>
    <t>Ausencia Legais</t>
  </si>
  <si>
    <t>1- Férias</t>
  </si>
  <si>
    <t>2- Ausencias Legais</t>
  </si>
  <si>
    <t>3- Ausencia acidente de trabalho</t>
  </si>
  <si>
    <t>4- Afast. Maternidade</t>
  </si>
  <si>
    <t>5- Licença Paternidade</t>
  </si>
  <si>
    <t>Total</t>
  </si>
  <si>
    <t xml:space="preserve">Total </t>
  </si>
  <si>
    <t>Descrição</t>
  </si>
  <si>
    <t>Quantidade</t>
  </si>
  <si>
    <r>
      <t xml:space="preserve">Quantidade </t>
    </r>
    <r>
      <rPr>
        <b/>
        <sz val="10"/>
        <color theme="1"/>
        <rFont val="Bookman Old Style"/>
        <family val="1"/>
      </rPr>
      <t>►</t>
    </r>
  </si>
  <si>
    <t>Salário  Calc. Insalubridade (R$)=</t>
  </si>
  <si>
    <t>Horas semanais=</t>
  </si>
  <si>
    <t>Valor Unitário</t>
  </si>
  <si>
    <t>Valor Total</t>
  </si>
  <si>
    <t>Encargos sociais (%) =</t>
  </si>
  <si>
    <t xml:space="preserve">Assistência Médica Familiar (R$)= </t>
  </si>
  <si>
    <t xml:space="preserve">Auxilio Alimentação (R$)= </t>
  </si>
  <si>
    <t xml:space="preserve">Fundo Assistencial (R$)= </t>
  </si>
  <si>
    <t xml:space="preserve">Vale Transporte (R$)= </t>
  </si>
  <si>
    <t xml:space="preserve">Seguro de Vida 2% (R$)= </t>
  </si>
  <si>
    <t>Total do Efetivo Mês =</t>
  </si>
  <si>
    <t>Custo Mensal do Motorista=</t>
  </si>
  <si>
    <t>Adicional de Insalubridade (%)=</t>
  </si>
  <si>
    <t xml:space="preserve">Horas Extras 50%= </t>
  </si>
  <si>
    <t xml:space="preserve">Horas Extras 100%= </t>
  </si>
  <si>
    <t>Salário Mensal (R$)=</t>
  </si>
  <si>
    <t>Horas mensais=</t>
  </si>
  <si>
    <t>Total sem encargos=</t>
  </si>
  <si>
    <t>Total de encargos=</t>
  </si>
  <si>
    <t>Total com encargos=</t>
  </si>
  <si>
    <t xml:space="preserve">Fundo Formaç. Profissional (R$)= </t>
  </si>
  <si>
    <t>Total de Mão de Obra Mensal</t>
  </si>
  <si>
    <t>Motorista CBO 7825-10</t>
  </si>
  <si>
    <t>Coletor CBO 5142-05</t>
  </si>
  <si>
    <t>Total Geral</t>
  </si>
  <si>
    <t>Percentual</t>
  </si>
  <si>
    <t>CUSTO COM COLETOR MENSAL</t>
  </si>
  <si>
    <t>CUSTO COM MOTORISTA MENSAL</t>
  </si>
  <si>
    <t>MÃO DE OBRA PARA PRESTAÇÃO DOS SERVIÇOS</t>
  </si>
  <si>
    <t>ENCARGOS SOCIAIS</t>
  </si>
  <si>
    <t>DESCRIÇÃO DO PERÍODO PARA PRESTAÇÃO DOS SERVIÇOS</t>
  </si>
  <si>
    <t>1- Aluguel</t>
  </si>
  <si>
    <t>2- Mobiliário</t>
  </si>
  <si>
    <t>3- Limpeza e conservação</t>
  </si>
  <si>
    <t>5- Material de expediente</t>
  </si>
  <si>
    <t>7- Equip. de segurança</t>
  </si>
  <si>
    <t>9- Treinamentos</t>
  </si>
  <si>
    <t>10- Ferramentas manuseio</t>
  </si>
  <si>
    <t>4- Equip. de escritório</t>
  </si>
  <si>
    <t>6- Materiais administrativos</t>
  </si>
  <si>
    <t>11- Mobilização e desmobilização</t>
  </si>
  <si>
    <t>12- Internet</t>
  </si>
  <si>
    <t>13- Consultoria contábil</t>
  </si>
  <si>
    <t>14- Honorários (Pró-Labore)</t>
  </si>
  <si>
    <t>15- Energia Elétrica</t>
  </si>
  <si>
    <t>16- Água e esgoto</t>
  </si>
  <si>
    <t>17- Telefone</t>
  </si>
  <si>
    <t>18- Licenças</t>
  </si>
  <si>
    <t>DESPESAS INDIRETAS (Valores estimados mensais)</t>
  </si>
  <si>
    <t>8- Atendende escritório</t>
  </si>
  <si>
    <t>UNIFORMES E EQUIPAMENTOS DE PROTEÇÃO INDIVIDUAL (EPI's)</t>
  </si>
  <si>
    <t>Custo no mês</t>
  </si>
  <si>
    <t>1- Boné</t>
  </si>
  <si>
    <t>2- Calça de brim</t>
  </si>
  <si>
    <t>3- Calçado de sergurança</t>
  </si>
  <si>
    <t>4- Camisa manga longa</t>
  </si>
  <si>
    <t>5- Camiseta manga curta</t>
  </si>
  <si>
    <t>6- Capa de chuva</t>
  </si>
  <si>
    <t>V. Unitário</t>
  </si>
  <si>
    <t>Consumo anual</t>
  </si>
  <si>
    <t>Custo mensal por coletor =</t>
  </si>
  <si>
    <t>Custo mensal do efetivo =</t>
  </si>
  <si>
    <t>Quantidade ►</t>
  </si>
  <si>
    <t>Custo mensal por motorista =</t>
  </si>
  <si>
    <t>Total Geral Mão de Obra</t>
  </si>
  <si>
    <t>Total Geral de encargos</t>
  </si>
  <si>
    <t>MATERIAIS PARA MANUTENÇÃO MENSAL DA FROTA</t>
  </si>
  <si>
    <t>Custo Km Rodado</t>
  </si>
  <si>
    <t>Custo Mensal</t>
  </si>
  <si>
    <t>Preço Unitário</t>
  </si>
  <si>
    <t>Coeficiente</t>
  </si>
  <si>
    <t>Material</t>
  </si>
  <si>
    <t>1- Combustível Diesel S-10</t>
  </si>
  <si>
    <t>2- Fluidos Hidráulico</t>
  </si>
  <si>
    <t>3- Higienização</t>
  </si>
  <si>
    <t>4- Licenc.+IPVA+Seg.Obrig.+RCO</t>
  </si>
  <si>
    <t>5- Lubrificantes</t>
  </si>
  <si>
    <t>6- Pneus</t>
  </si>
  <si>
    <t>7- Recapagem pneus</t>
  </si>
  <si>
    <t>Custo por Quilômetro rodado =</t>
  </si>
  <si>
    <t>Vida útil (meses) =</t>
  </si>
  <si>
    <t>Valor residual (%) =</t>
  </si>
  <si>
    <t xml:space="preserve">Custo da depreciação mensal (R$) = </t>
  </si>
  <si>
    <t>Custo mensal do valor investido (R$) =</t>
  </si>
  <si>
    <t>Custo mensal do capital (R$) =</t>
  </si>
  <si>
    <t>Custo mensal (R$) =</t>
  </si>
  <si>
    <t>FORMAÇÃO DO PREÇO BASE MENSAL</t>
  </si>
  <si>
    <t>Descrição do Módulo</t>
  </si>
  <si>
    <t>Valor Mensal</t>
  </si>
  <si>
    <t>Total Uniformes e Equipamentos de Segurança</t>
  </si>
  <si>
    <t>Total Despesas Indiretas</t>
  </si>
  <si>
    <t>Total Manutenção Mensal da Frota</t>
  </si>
  <si>
    <t>Total do Custo Mensal da Frota</t>
  </si>
  <si>
    <t>Total dos Custos</t>
  </si>
  <si>
    <t>Percentuais sobre o total %</t>
  </si>
  <si>
    <t>1- IRRJ</t>
  </si>
  <si>
    <t>2- PIS</t>
  </si>
  <si>
    <t>3- COFINS</t>
  </si>
  <si>
    <t>4- ISS</t>
  </si>
  <si>
    <t>5- CSLL</t>
  </si>
  <si>
    <t>Custo unitário médio do caminhão (R$) =</t>
  </si>
  <si>
    <t>Resultado BDI</t>
  </si>
  <si>
    <t>AC - Administração Central</t>
  </si>
  <si>
    <t>SRG-Seguros/Riscos/Garantias</t>
  </si>
  <si>
    <t>L - Lucro</t>
  </si>
  <si>
    <t>DF - Despesas Financeiras</t>
  </si>
  <si>
    <t>i - Taxa SELIC</t>
  </si>
  <si>
    <t>Resultado do cálculo de BDI</t>
  </si>
  <si>
    <t>Soma dos tributos</t>
  </si>
  <si>
    <t>Adicional de Insalubridade (40%)=</t>
  </si>
  <si>
    <t xml:space="preserve">luva anti corte </t>
  </si>
  <si>
    <t>Número de Veículos/Fator►</t>
  </si>
  <si>
    <t>Custo do capital (taxa selic 13.25% a.a) =</t>
  </si>
  <si>
    <t>Total do Custo Mensal de Destinação</t>
  </si>
  <si>
    <t>Quantidade / Fator (Motorista)</t>
  </si>
  <si>
    <t>Quantidade / Fator (Coletor)</t>
  </si>
  <si>
    <t>5- Multa do FGTS sobre o aviso prévio indenizado</t>
  </si>
  <si>
    <t>4- Incidencia de Encargos de FGTS e INSS sobre o aviso prévio indenizado</t>
  </si>
  <si>
    <t>7- Incidencia de Encargos de FGTS e INSS sobre o aviso prévio trabalhado</t>
  </si>
  <si>
    <t>8- Multa do FGTS sobre o aviso prévio trabalhado</t>
  </si>
  <si>
    <t>Custo Mensal do Coletor =</t>
  </si>
  <si>
    <t>Fator de manutenção corretiva (% do valor do equipamento) =</t>
  </si>
  <si>
    <t>Custo total de manutenção corretiva (R$) =</t>
  </si>
  <si>
    <t>Número de Coletor Chassi /Fator►</t>
  </si>
  <si>
    <t xml:space="preserve">Ajuda de Custos (R$)= </t>
  </si>
  <si>
    <t>DU - Dias úteis coletados</t>
  </si>
  <si>
    <t>Média de distância percorrida no mês►</t>
  </si>
  <si>
    <t>DESTINAÇÃO</t>
  </si>
  <si>
    <t>Fator</t>
  </si>
  <si>
    <t>19- Responsável Técnico</t>
  </si>
  <si>
    <t>20 - Outras Desp. Indiretas</t>
  </si>
  <si>
    <t>Volume/M³</t>
  </si>
  <si>
    <t>Valor R$/M³.</t>
  </si>
  <si>
    <t>VALOR FINAL ANUAL</t>
  </si>
  <si>
    <t xml:space="preserve">EQUIPAMENTOS CAMINHÃO </t>
  </si>
  <si>
    <t>Custo com Destinação</t>
  </si>
  <si>
    <t>PLANILHA COMPOSIÇÃO DE CUSTOS, TRANSPORTE E DESTINAÇÃO RESÍDUOS VOLUMOSOS CLASSE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</si>
</sst>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2" fillId="0" borderId="0" xfId="1" applyFont="1" applyAlignment="1"/>
    <xf numFmtId="164" fontId="2" fillId="0" borderId="1" xfId="0" applyNumberFormat="1" applyFont="1" applyBorder="1"/>
    <xf numFmtId="9" fontId="2" fillId="0" borderId="0" xfId="2" applyFont="1" applyAlignme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6" borderId="8" xfId="0" applyFont="1" applyFill="1" applyBorder="1"/>
    <xf numFmtId="0" fontId="2" fillId="4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0" borderId="19" xfId="0" applyNumberFormat="1" applyFont="1" applyBorder="1"/>
    <xf numFmtId="0" fontId="2" fillId="4" borderId="12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5" xfId="0" applyFont="1" applyFill="1" applyBorder="1"/>
    <xf numFmtId="0" fontId="3" fillId="6" borderId="7" xfId="0" applyFont="1" applyFill="1" applyBorder="1"/>
    <xf numFmtId="0" fontId="3" fillId="6" borderId="9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6" borderId="22" xfId="0" applyFont="1" applyFill="1" applyBorder="1"/>
    <xf numFmtId="0" fontId="2" fillId="6" borderId="23" xfId="0" applyFont="1" applyFill="1" applyBorder="1"/>
    <xf numFmtId="0" fontId="2" fillId="6" borderId="24" xfId="0" applyFont="1" applyFill="1" applyBorder="1"/>
    <xf numFmtId="0" fontId="5" fillId="0" borderId="8" xfId="0" applyFont="1" applyBorder="1"/>
    <xf numFmtId="44" fontId="6" fillId="0" borderId="0" xfId="0" applyNumberFormat="1" applyFont="1"/>
    <xf numFmtId="0" fontId="3" fillId="6" borderId="8" xfId="0" applyFont="1" applyFill="1" applyBorder="1" applyAlignment="1">
      <alignment horizontal="right"/>
    </xf>
    <xf numFmtId="10" fontId="3" fillId="6" borderId="9" xfId="2" applyNumberFormat="1" applyFont="1" applyFill="1" applyBorder="1" applyAlignment="1">
      <alignment horizontal="left"/>
    </xf>
    <xf numFmtId="10" fontId="2" fillId="5" borderId="1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0" fontId="6" fillId="5" borderId="2" xfId="0" applyNumberFormat="1" applyFont="1" applyFill="1" applyBorder="1" applyAlignment="1">
      <alignment horizontal="center"/>
    </xf>
    <xf numFmtId="10" fontId="6" fillId="5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10" fontId="5" fillId="0" borderId="2" xfId="1" applyNumberFormat="1" applyFont="1" applyFill="1" applyBorder="1" applyAlignment="1">
      <alignment horizontal="center"/>
    </xf>
    <xf numFmtId="0" fontId="5" fillId="0" borderId="4" xfId="1" applyNumberFormat="1" applyFont="1" applyFill="1" applyBorder="1" applyAlignment="1">
      <alignment horizontal="center"/>
    </xf>
    <xf numFmtId="10" fontId="6" fillId="5" borderId="2" xfId="1" applyNumberFormat="1" applyFont="1" applyFill="1" applyBorder="1" applyAlignment="1">
      <alignment horizontal="center"/>
    </xf>
    <xf numFmtId="10" fontId="6" fillId="5" borderId="4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0" fontId="5" fillId="0" borderId="8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1" applyNumberFormat="1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1" xfId="0" applyFont="1" applyFill="1" applyBorder="1" applyAlignment="1">
      <alignment horizontal="center"/>
    </xf>
    <xf numFmtId="164" fontId="3" fillId="6" borderId="20" xfId="1" applyFont="1" applyFill="1" applyBorder="1" applyAlignment="1">
      <alignment horizontal="center"/>
    </xf>
    <xf numFmtId="164" fontId="3" fillId="6" borderId="0" xfId="1" applyFont="1" applyFill="1" applyBorder="1" applyAlignment="1">
      <alignment horizontal="center"/>
    </xf>
    <xf numFmtId="164" fontId="3" fillId="6" borderId="21" xfId="1" applyFont="1" applyFill="1" applyBorder="1" applyAlignment="1">
      <alignment horizontal="center"/>
    </xf>
    <xf numFmtId="10" fontId="5" fillId="8" borderId="2" xfId="2" applyNumberFormat="1" applyFont="1" applyFill="1" applyBorder="1" applyAlignment="1">
      <alignment horizontal="center"/>
    </xf>
    <xf numFmtId="10" fontId="5" fillId="8" borderId="4" xfId="2" applyNumberFormat="1" applyFont="1" applyFill="1" applyBorder="1" applyAlignment="1">
      <alignment horizontal="center"/>
    </xf>
    <xf numFmtId="1" fontId="6" fillId="5" borderId="2" xfId="1" applyNumberFormat="1" applyFont="1" applyFill="1" applyBorder="1" applyAlignment="1">
      <alignment horizontal="center"/>
    </xf>
    <xf numFmtId="1" fontId="6" fillId="5" borderId="4" xfId="1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0" fontId="6" fillId="5" borderId="10" xfId="0" applyNumberFormat="1" applyFont="1" applyFill="1" applyBorder="1" applyAlignment="1">
      <alignment horizontal="center"/>
    </xf>
    <xf numFmtId="10" fontId="6" fillId="5" borderId="11" xfId="0" applyNumberFormat="1" applyFont="1" applyFill="1" applyBorder="1" applyAlignment="1">
      <alignment horizontal="center"/>
    </xf>
    <xf numFmtId="10" fontId="6" fillId="5" borderId="10" xfId="1" applyNumberFormat="1" applyFont="1" applyFill="1" applyBorder="1" applyAlignment="1">
      <alignment horizontal="center"/>
    </xf>
    <xf numFmtId="10" fontId="6" fillId="5" borderId="11" xfId="1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2" xfId="2" applyNumberFormat="1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7" borderId="7" xfId="0" applyNumberFormat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4" xfId="2" applyNumberFormat="1" applyFont="1" applyFill="1" applyBorder="1" applyAlignment="1">
      <alignment horizontal="center"/>
    </xf>
    <xf numFmtId="164" fontId="3" fillId="5" borderId="7" xfId="1" applyFont="1" applyFill="1" applyBorder="1" applyAlignment="1">
      <alignment horizontal="center"/>
    </xf>
    <xf numFmtId="164" fontId="3" fillId="5" borderId="9" xfId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2" fillId="0" borderId="10" xfId="2" applyNumberFormat="1" applyFont="1" applyFill="1" applyBorder="1" applyAlignment="1">
      <alignment horizontal="center"/>
    </xf>
    <xf numFmtId="165" fontId="2" fillId="0" borderId="11" xfId="2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2" fillId="0" borderId="2" xfId="1" applyFont="1" applyFill="1" applyBorder="1" applyAlignment="1">
      <alignment horizontal="center"/>
    </xf>
    <xf numFmtId="164" fontId="2" fillId="0" borderId="4" xfId="1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164" fontId="3" fillId="6" borderId="2" xfId="1" applyFont="1" applyFill="1" applyBorder="1" applyAlignment="1">
      <alignment horizontal="center"/>
    </xf>
    <xf numFmtId="164" fontId="3" fillId="6" borderId="4" xfId="1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2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0" fontId="2" fillId="5" borderId="2" xfId="1" applyNumberFormat="1" applyFont="1" applyFill="1" applyBorder="1" applyAlignment="1">
      <alignment horizontal="center"/>
    </xf>
    <xf numFmtId="164" fontId="2" fillId="5" borderId="4" xfId="1" applyFont="1" applyFill="1" applyBorder="1" applyAlignment="1">
      <alignment horizontal="center"/>
    </xf>
    <xf numFmtId="164" fontId="0" fillId="0" borderId="2" xfId="1" applyFont="1" applyFill="1" applyBorder="1" applyAlignment="1">
      <alignment horizontal="center"/>
    </xf>
    <xf numFmtId="9" fontId="2" fillId="5" borderId="2" xfId="0" applyNumberFormat="1" applyFont="1" applyFill="1" applyBorder="1" applyAlignment="1">
      <alignment horizontal="center"/>
    </xf>
    <xf numFmtId="9" fontId="2" fillId="5" borderId="4" xfId="0" applyNumberFormat="1" applyFont="1" applyFill="1" applyBorder="1" applyAlignment="1">
      <alignment horizontal="center"/>
    </xf>
    <xf numFmtId="9" fontId="2" fillId="5" borderId="2" xfId="2" applyFont="1" applyFill="1" applyBorder="1" applyAlignment="1">
      <alignment horizontal="center"/>
    </xf>
    <xf numFmtId="9" fontId="2" fillId="5" borderId="4" xfId="2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5" borderId="2" xfId="1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6" borderId="7" xfId="0" applyFont="1" applyFill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left"/>
    </xf>
    <xf numFmtId="164" fontId="3" fillId="6" borderId="7" xfId="1" applyFont="1" applyFill="1" applyBorder="1" applyAlignment="1">
      <alignment horizontal="center"/>
    </xf>
    <xf numFmtId="164" fontId="3" fillId="6" borderId="9" xfId="1" applyFont="1" applyFill="1" applyBorder="1" applyAlignment="1">
      <alignment horizontal="center"/>
    </xf>
    <xf numFmtId="166" fontId="2" fillId="5" borderId="2" xfId="0" applyNumberFormat="1" applyFont="1" applyFill="1" applyBorder="1" applyAlignment="1">
      <alignment horizontal="center"/>
    </xf>
    <xf numFmtId="166" fontId="2" fillId="5" borderId="4" xfId="0" applyNumberFormat="1" applyFont="1" applyFill="1" applyBorder="1" applyAlignment="1">
      <alignment horizontal="center"/>
    </xf>
    <xf numFmtId="164" fontId="2" fillId="5" borderId="2" xfId="1" applyFont="1" applyFill="1" applyBorder="1" applyAlignment="1">
      <alignment horizontal="center" wrapText="1"/>
    </xf>
    <xf numFmtId="164" fontId="2" fillId="5" borderId="4" xfId="1" applyFont="1" applyFill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6" fontId="2" fillId="5" borderId="10" xfId="0" applyNumberFormat="1" applyFont="1" applyFill="1" applyBorder="1" applyAlignment="1">
      <alignment horizontal="center"/>
    </xf>
    <xf numFmtId="166" fontId="2" fillId="5" borderId="11" xfId="0" applyNumberFormat="1" applyFont="1" applyFill="1" applyBorder="1" applyAlignment="1">
      <alignment horizontal="center"/>
    </xf>
    <xf numFmtId="164" fontId="2" fillId="5" borderId="10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right"/>
    </xf>
    <xf numFmtId="164" fontId="3" fillId="0" borderId="2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3" fontId="2" fillId="5" borderId="0" xfId="0" applyNumberFormat="1" applyFont="1" applyFill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164" fontId="2" fillId="5" borderId="3" xfId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164" fontId="2" fillId="5" borderId="10" xfId="1" applyFont="1" applyFill="1" applyBorder="1" applyAlignment="1">
      <alignment horizontal="center"/>
    </xf>
    <xf numFmtId="164" fontId="2" fillId="5" borderId="5" xfId="1" applyFont="1" applyFill="1" applyBorder="1" applyAlignment="1">
      <alignment horizontal="center"/>
    </xf>
    <xf numFmtId="164" fontId="2" fillId="5" borderId="11" xfId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164" fontId="2" fillId="0" borderId="10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10" fontId="2" fillId="0" borderId="4" xfId="2" applyNumberFormat="1" applyFont="1" applyFill="1" applyBorder="1" applyAlignment="1">
      <alignment horizontal="center"/>
    </xf>
    <xf numFmtId="164" fontId="3" fillId="6" borderId="8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10" fontId="3" fillId="6" borderId="7" xfId="2" applyNumberFormat="1" applyFont="1" applyFill="1" applyBorder="1" applyAlignment="1">
      <alignment horizontal="center"/>
    </xf>
    <xf numFmtId="10" fontId="3" fillId="6" borderId="9" xfId="2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0" fontId="2" fillId="0" borderId="10" xfId="2" applyNumberFormat="1" applyFont="1" applyFill="1" applyBorder="1" applyAlignment="1">
      <alignment horizontal="center"/>
    </xf>
    <xf numFmtId="10" fontId="2" fillId="0" borderId="11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1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5" borderId="7" xfId="1" applyFont="1" applyFill="1" applyBorder="1" applyAlignment="1">
      <alignment horizontal="center"/>
    </xf>
    <xf numFmtId="164" fontId="2" fillId="5" borderId="9" xfId="1" applyFont="1" applyFill="1" applyBorder="1" applyAlignment="1">
      <alignment horizontal="center"/>
    </xf>
    <xf numFmtId="0" fontId="3" fillId="6" borderId="13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10" fontId="3" fillId="6" borderId="13" xfId="1" applyNumberFormat="1" applyFont="1" applyFill="1" applyBorder="1" applyAlignment="1">
      <alignment horizontal="center"/>
    </xf>
    <xf numFmtId="10" fontId="3" fillId="6" borderId="15" xfId="1" applyNumberFormat="1" applyFont="1" applyFill="1" applyBorder="1" applyAlignment="1">
      <alignment horizontal="center"/>
    </xf>
    <xf numFmtId="10" fontId="2" fillId="5" borderId="2" xfId="0" applyNumberFormat="1" applyFont="1" applyFill="1" applyBorder="1" applyAlignment="1">
      <alignment horizontal="center"/>
    </xf>
    <xf numFmtId="10" fontId="2" fillId="5" borderId="4" xfId="0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0" fontId="3" fillId="0" borderId="7" xfId="1" applyNumberFormat="1" applyFont="1" applyFill="1" applyBorder="1" applyAlignment="1">
      <alignment horizontal="center"/>
    </xf>
    <xf numFmtId="10" fontId="3" fillId="0" borderId="9" xfId="1" applyNumberFormat="1" applyFont="1" applyFill="1" applyBorder="1" applyAlignment="1">
      <alignment horizontal="center"/>
    </xf>
    <xf numFmtId="10" fontId="2" fillId="5" borderId="10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5" borderId="4" xfId="1" applyNumberFormat="1" applyFont="1" applyFill="1" applyBorder="1" applyAlignment="1">
      <alignment horizontal="center"/>
    </xf>
    <xf numFmtId="10" fontId="2" fillId="5" borderId="10" xfId="1" applyNumberFormat="1" applyFont="1" applyFill="1" applyBorder="1" applyAlignment="1">
      <alignment horizontal="center"/>
    </xf>
    <xf numFmtId="10" fontId="2" fillId="5" borderId="11" xfId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5" borderId="4" xfId="1" applyNumberFormat="1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5" borderId="25" xfId="1" applyNumberFormat="1" applyFont="1" applyFill="1" applyBorder="1" applyAlignment="1">
      <alignment horizontal="center"/>
    </xf>
    <xf numFmtId="0" fontId="2" fillId="5" borderId="27" xfId="1" applyNumberFormat="1" applyFont="1" applyFill="1" applyBorder="1" applyAlignment="1">
      <alignment horizontal="center"/>
    </xf>
    <xf numFmtId="0" fontId="2" fillId="0" borderId="25" xfId="1" applyNumberFormat="1" applyFont="1" applyFill="1" applyBorder="1" applyAlignment="1">
      <alignment horizontal="center"/>
    </xf>
    <xf numFmtId="0" fontId="2" fillId="0" borderId="27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2" fontId="2" fillId="0" borderId="28" xfId="1" applyNumberFormat="1" applyFont="1" applyFill="1" applyBorder="1" applyAlignment="1">
      <alignment horizontal="center"/>
    </xf>
    <xf numFmtId="2" fontId="2" fillId="0" borderId="3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5" borderId="33" xfId="1" applyNumberFormat="1" applyFont="1" applyFill="1" applyBorder="1" applyAlignment="1">
      <alignment horizontal="center"/>
    </xf>
    <xf numFmtId="0" fontId="2" fillId="5" borderId="34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Q167"/>
  <sheetViews>
    <sheetView tabSelected="1" topLeftCell="A141" workbookViewId="0">
      <selection activeCell="H142" sqref="H142:K142"/>
    </sheetView>
  </sheetViews>
  <sheetFormatPr defaultRowHeight="15" x14ac:dyDescent="0.25"/>
  <cols>
    <col min="2" max="2" width="11.140625" customWidth="1"/>
    <col min="8" max="8" width="9.140625" customWidth="1"/>
    <col min="11" max="11" width="14.85546875" customWidth="1"/>
    <col min="17" max="17" width="13.28515625" bestFit="1" customWidth="1"/>
  </cols>
  <sheetData>
    <row r="2" spans="2:14" x14ac:dyDescent="0.25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4" x14ac:dyDescent="0.25"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39"/>
    </row>
    <row r="4" spans="2:14" x14ac:dyDescent="0.25">
      <c r="B4" s="147" t="s">
        <v>171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4" ht="15.75" thickBot="1" x14ac:dyDescent="0.3">
      <c r="B5" s="263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</row>
    <row r="6" spans="2:14" ht="15.75" thickBot="1" x14ac:dyDescent="0.3">
      <c r="B6" s="107" t="s">
        <v>65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2:14" ht="16.5" thickBot="1" x14ac:dyDescent="0.35">
      <c r="B7" s="67" t="s">
        <v>0</v>
      </c>
      <c r="C7" s="68"/>
      <c r="D7" s="68"/>
      <c r="E7" s="68"/>
      <c r="F7" s="68"/>
      <c r="G7" s="68"/>
      <c r="H7" s="68"/>
      <c r="I7" s="68"/>
      <c r="J7" s="68"/>
      <c r="K7" s="69"/>
      <c r="L7" s="2"/>
      <c r="M7" s="67" t="s">
        <v>18</v>
      </c>
      <c r="N7" s="69"/>
    </row>
    <row r="8" spans="2:14" ht="15.75" x14ac:dyDescent="0.3">
      <c r="B8" s="265" t="s">
        <v>5</v>
      </c>
      <c r="C8" s="55"/>
      <c r="D8" s="55"/>
      <c r="E8" s="55"/>
      <c r="F8" s="55"/>
      <c r="G8" s="55"/>
      <c r="H8" s="55"/>
      <c r="I8" s="55"/>
      <c r="J8" s="55"/>
      <c r="K8" s="266"/>
      <c r="L8" s="2"/>
      <c r="M8" s="267">
        <v>365</v>
      </c>
      <c r="N8" s="268"/>
    </row>
    <row r="9" spans="2:14" ht="15.75" x14ac:dyDescent="0.3">
      <c r="B9" s="247" t="s">
        <v>6</v>
      </c>
      <c r="C9" s="248"/>
      <c r="D9" s="248"/>
      <c r="E9" s="248"/>
      <c r="F9" s="248"/>
      <c r="G9" s="248"/>
      <c r="H9" s="248"/>
      <c r="I9" s="248"/>
      <c r="J9" s="248"/>
      <c r="K9" s="249"/>
      <c r="L9" s="2"/>
      <c r="M9" s="254">
        <v>52</v>
      </c>
      <c r="N9" s="255"/>
    </row>
    <row r="10" spans="2:14" ht="15.75" x14ac:dyDescent="0.3">
      <c r="B10" s="247" t="s">
        <v>7</v>
      </c>
      <c r="C10" s="248"/>
      <c r="D10" s="248"/>
      <c r="E10" s="248"/>
      <c r="F10" s="248"/>
      <c r="G10" s="248"/>
      <c r="H10" s="248"/>
      <c r="I10" s="248"/>
      <c r="J10" s="248"/>
      <c r="K10" s="249"/>
      <c r="L10" s="2"/>
      <c r="M10" s="256">
        <f>M8-M9</f>
        <v>313</v>
      </c>
      <c r="N10" s="257"/>
    </row>
    <row r="11" spans="2:14" ht="16.5" thickBot="1" x14ac:dyDescent="0.35">
      <c r="B11" s="258" t="s">
        <v>8</v>
      </c>
      <c r="C11" s="259"/>
      <c r="D11" s="259"/>
      <c r="E11" s="259"/>
      <c r="F11" s="259"/>
      <c r="G11" s="259"/>
      <c r="H11" s="259"/>
      <c r="I11" s="259"/>
      <c r="J11" s="259"/>
      <c r="K11" s="260"/>
      <c r="L11" s="2"/>
      <c r="M11" s="261">
        <f>M10/12</f>
        <v>26.083333333333332</v>
      </c>
      <c r="N11" s="262"/>
    </row>
    <row r="12" spans="2:14" ht="15.75" thickBot="1" x14ac:dyDescent="0.3">
      <c r="B12" s="107" t="s">
        <v>64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9"/>
    </row>
    <row r="13" spans="2:14" ht="15.75" thickBot="1" x14ac:dyDescent="0.3">
      <c r="B13" s="67" t="s">
        <v>9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2:14" ht="15.75" x14ac:dyDescent="0.3">
      <c r="B14" s="251" t="s">
        <v>13</v>
      </c>
      <c r="C14" s="252"/>
      <c r="D14" s="253"/>
      <c r="E14" s="1"/>
      <c r="F14" s="242">
        <v>0.2</v>
      </c>
      <c r="G14" s="243"/>
      <c r="H14" s="1"/>
      <c r="I14" s="251" t="s">
        <v>12</v>
      </c>
      <c r="J14" s="252"/>
      <c r="K14" s="253"/>
      <c r="L14" s="2"/>
      <c r="M14" s="245">
        <v>0.08</v>
      </c>
      <c r="N14" s="246"/>
    </row>
    <row r="15" spans="2:14" ht="15.75" x14ac:dyDescent="0.3">
      <c r="B15" s="247" t="s">
        <v>15</v>
      </c>
      <c r="C15" s="248"/>
      <c r="D15" s="249"/>
      <c r="E15" s="1"/>
      <c r="F15" s="236">
        <v>2.5000000000000001E-2</v>
      </c>
      <c r="G15" s="120"/>
      <c r="H15" s="1"/>
      <c r="I15" s="247" t="s">
        <v>11</v>
      </c>
      <c r="J15" s="248"/>
      <c r="K15" s="249"/>
      <c r="L15" s="2"/>
      <c r="M15" s="135">
        <v>1.4999999999999999E-2</v>
      </c>
      <c r="N15" s="250"/>
    </row>
    <row r="16" spans="2:14" ht="15.75" x14ac:dyDescent="0.3">
      <c r="B16" s="247" t="s">
        <v>14</v>
      </c>
      <c r="C16" s="248"/>
      <c r="D16" s="249"/>
      <c r="E16" s="1"/>
      <c r="F16" s="236">
        <v>0.03</v>
      </c>
      <c r="G16" s="237"/>
      <c r="H16" s="1"/>
      <c r="I16" s="247" t="s">
        <v>10</v>
      </c>
      <c r="J16" s="248"/>
      <c r="K16" s="249"/>
      <c r="L16" s="2"/>
      <c r="M16" s="135">
        <v>2E-3</v>
      </c>
      <c r="N16" s="250"/>
    </row>
    <row r="17" spans="2:14" ht="16.5" thickBot="1" x14ac:dyDescent="0.35">
      <c r="B17" s="247" t="s">
        <v>16</v>
      </c>
      <c r="C17" s="248"/>
      <c r="D17" s="249"/>
      <c r="E17" s="1"/>
      <c r="F17" s="236">
        <v>6.0000000000000001E-3</v>
      </c>
      <c r="G17" s="120"/>
      <c r="H17" s="1"/>
      <c r="I17" s="247" t="s">
        <v>17</v>
      </c>
      <c r="J17" s="248"/>
      <c r="K17" s="249"/>
      <c r="L17" s="2"/>
      <c r="M17" s="135">
        <v>0.01</v>
      </c>
      <c r="N17" s="244"/>
    </row>
    <row r="18" spans="2:14" ht="16.5" thickBot="1" x14ac:dyDescent="0.35">
      <c r="B18" s="231" t="s">
        <v>31</v>
      </c>
      <c r="C18" s="232"/>
      <c r="D18" s="232"/>
      <c r="E18" s="232"/>
      <c r="F18" s="232"/>
      <c r="G18" s="232"/>
      <c r="H18" s="232"/>
      <c r="I18" s="232"/>
      <c r="J18" s="232"/>
      <c r="K18" s="233"/>
      <c r="L18" s="2"/>
      <c r="M18" s="234">
        <f>SUM(F14:G17,M14:N17)</f>
        <v>0.36800000000000005</v>
      </c>
      <c r="N18" s="235"/>
    </row>
    <row r="19" spans="2:14" ht="15.75" thickBot="1" x14ac:dyDescent="0.3">
      <c r="B19" s="67" t="s">
        <v>19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2:14" ht="15.75" x14ac:dyDescent="0.3">
      <c r="B20" s="110" t="s">
        <v>21</v>
      </c>
      <c r="C20" s="111"/>
      <c r="D20" s="111"/>
      <c r="E20" s="111"/>
      <c r="F20" s="111"/>
      <c r="G20" s="111"/>
      <c r="H20" s="111"/>
      <c r="I20" s="111"/>
      <c r="J20" s="111"/>
      <c r="K20" s="112"/>
      <c r="L20" s="2"/>
      <c r="M20" s="245">
        <f>1/12</f>
        <v>8.3333333333333329E-2</v>
      </c>
      <c r="N20" s="246"/>
    </row>
    <row r="21" spans="2:14" ht="15.75" x14ac:dyDescent="0.3">
      <c r="B21" s="79" t="s">
        <v>20</v>
      </c>
      <c r="C21" s="80"/>
      <c r="D21" s="80"/>
      <c r="E21" s="80"/>
      <c r="F21" s="80"/>
      <c r="G21" s="80"/>
      <c r="H21" s="80"/>
      <c r="I21" s="80"/>
      <c r="J21" s="80"/>
      <c r="K21" s="81"/>
      <c r="L21" s="2"/>
      <c r="M21" s="135">
        <f>M20+M20/3</f>
        <v>0.1111111111111111</v>
      </c>
      <c r="N21" s="244"/>
    </row>
    <row r="22" spans="2:14" ht="15.75" x14ac:dyDescent="0.3">
      <c r="B22" s="79" t="s">
        <v>22</v>
      </c>
      <c r="C22" s="80"/>
      <c r="D22" s="80"/>
      <c r="E22" s="80"/>
      <c r="F22" s="80"/>
      <c r="G22" s="80"/>
      <c r="H22" s="80"/>
      <c r="I22" s="80"/>
      <c r="J22" s="80"/>
      <c r="K22" s="81"/>
      <c r="L22" s="2"/>
      <c r="M22" s="135">
        <f>1/12*(31/48)</f>
        <v>5.3819444444444448E-2</v>
      </c>
      <c r="N22" s="244"/>
    </row>
    <row r="23" spans="2:14" ht="15.75" x14ac:dyDescent="0.3">
      <c r="B23" s="79" t="s">
        <v>152</v>
      </c>
      <c r="C23" s="80"/>
      <c r="D23" s="80"/>
      <c r="E23" s="80"/>
      <c r="F23" s="80"/>
      <c r="G23" s="80"/>
      <c r="H23" s="80"/>
      <c r="I23" s="80"/>
      <c r="J23" s="80"/>
      <c r="K23" s="81"/>
      <c r="L23" s="2"/>
      <c r="M23" s="135">
        <f>M22*M18</f>
        <v>1.9805555555555559E-2</v>
      </c>
      <c r="N23" s="244"/>
    </row>
    <row r="24" spans="2:14" ht="15.75" x14ac:dyDescent="0.3">
      <c r="B24" s="79" t="s">
        <v>151</v>
      </c>
      <c r="C24" s="80"/>
      <c r="D24" s="80"/>
      <c r="E24" s="80"/>
      <c r="F24" s="80"/>
      <c r="G24" s="80"/>
      <c r="H24" s="80"/>
      <c r="I24" s="80"/>
      <c r="J24" s="80"/>
      <c r="K24" s="81"/>
      <c r="L24" s="2"/>
      <c r="M24" s="135">
        <f>M22*8%*40%</f>
        <v>1.7222222222222222E-3</v>
      </c>
      <c r="N24" s="244"/>
    </row>
    <row r="25" spans="2:14" ht="15.75" x14ac:dyDescent="0.3">
      <c r="B25" s="79" t="s">
        <v>23</v>
      </c>
      <c r="C25" s="80"/>
      <c r="D25" s="80"/>
      <c r="E25" s="80"/>
      <c r="F25" s="80"/>
      <c r="G25" s="80"/>
      <c r="H25" s="80"/>
      <c r="I25" s="80"/>
      <c r="J25" s="80"/>
      <c r="K25" s="81"/>
      <c r="L25" s="2"/>
      <c r="M25" s="135">
        <f>1/30*7/12*(17/48)</f>
        <v>6.8865740740740745E-3</v>
      </c>
      <c r="N25" s="244"/>
    </row>
    <row r="26" spans="2:14" ht="15.75" x14ac:dyDescent="0.3">
      <c r="B26" s="79" t="s">
        <v>153</v>
      </c>
      <c r="C26" s="80"/>
      <c r="D26" s="80"/>
      <c r="E26" s="80"/>
      <c r="F26" s="80"/>
      <c r="G26" s="80"/>
      <c r="H26" s="80"/>
      <c r="I26" s="80"/>
      <c r="J26" s="80"/>
      <c r="K26" s="81"/>
      <c r="L26" s="2"/>
      <c r="M26" s="135">
        <f>M25*28.8%+M25*8%</f>
        <v>2.5342592592592595E-3</v>
      </c>
      <c r="N26" s="244"/>
    </row>
    <row r="27" spans="2:14" ht="15.75" x14ac:dyDescent="0.3">
      <c r="B27" s="79" t="s">
        <v>154</v>
      </c>
      <c r="C27" s="80"/>
      <c r="D27" s="80"/>
      <c r="E27" s="80"/>
      <c r="F27" s="80"/>
      <c r="G27" s="80"/>
      <c r="H27" s="80"/>
      <c r="I27" s="80"/>
      <c r="J27" s="80"/>
      <c r="K27" s="81"/>
      <c r="L27" s="2"/>
      <c r="M27" s="135">
        <f>M25*8%*40%</f>
        <v>2.2037037037037039E-4</v>
      </c>
      <c r="N27" s="244"/>
    </row>
    <row r="28" spans="2:14" ht="16.5" thickBot="1" x14ac:dyDescent="0.35">
      <c r="B28" s="87" t="s">
        <v>31</v>
      </c>
      <c r="C28" s="88"/>
      <c r="D28" s="88"/>
      <c r="E28" s="88"/>
      <c r="F28" s="88"/>
      <c r="G28" s="88"/>
      <c r="H28" s="88"/>
      <c r="I28" s="88"/>
      <c r="J28" s="88"/>
      <c r="K28" s="89"/>
      <c r="L28" s="2"/>
      <c r="M28" s="240">
        <f>SUM(M20:N27)</f>
        <v>0.27943287037037035</v>
      </c>
      <c r="N28" s="241"/>
    </row>
    <row r="29" spans="2:14" ht="15.75" thickBot="1" x14ac:dyDescent="0.3">
      <c r="B29" s="67" t="s">
        <v>24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</row>
    <row r="30" spans="2:14" ht="15.75" x14ac:dyDescent="0.3">
      <c r="B30" s="110" t="s">
        <v>25</v>
      </c>
      <c r="C30" s="111"/>
      <c r="D30" s="112"/>
      <c r="E30" s="1"/>
      <c r="F30" s="242">
        <f>1/12</f>
        <v>8.3333333333333329E-2</v>
      </c>
      <c r="G30" s="243"/>
      <c r="H30" s="1"/>
      <c r="I30" s="110" t="s">
        <v>26</v>
      </c>
      <c r="J30" s="111"/>
      <c r="K30" s="112"/>
      <c r="L30" s="2"/>
      <c r="M30" s="242">
        <f>24/27/24</f>
        <v>3.7037037037037035E-2</v>
      </c>
      <c r="N30" s="243"/>
    </row>
    <row r="31" spans="2:14" ht="15.75" x14ac:dyDescent="0.3">
      <c r="B31" s="79" t="s">
        <v>27</v>
      </c>
      <c r="C31" s="80"/>
      <c r="D31" s="81"/>
      <c r="E31" s="1"/>
      <c r="F31" s="236">
        <f>2/27/24</f>
        <v>3.0864197530864196E-3</v>
      </c>
      <c r="G31" s="237"/>
      <c r="H31" s="1"/>
      <c r="I31" s="79" t="s">
        <v>28</v>
      </c>
      <c r="J31" s="80"/>
      <c r="K31" s="81"/>
      <c r="L31" s="2"/>
      <c r="M31" s="236">
        <v>0</v>
      </c>
      <c r="N31" s="237"/>
    </row>
    <row r="32" spans="2:14" ht="15.75" x14ac:dyDescent="0.3">
      <c r="B32" s="79" t="s">
        <v>29</v>
      </c>
      <c r="C32" s="80"/>
      <c r="D32" s="81"/>
      <c r="E32" s="1"/>
      <c r="F32" s="236">
        <f>1/27/24</f>
        <v>1.5432098765432098E-3</v>
      </c>
      <c r="G32" s="237"/>
      <c r="H32" s="1"/>
      <c r="I32" s="55"/>
      <c r="J32" s="55"/>
      <c r="K32" s="55"/>
      <c r="L32" s="2"/>
      <c r="M32" s="238"/>
      <c r="N32" s="239"/>
    </row>
    <row r="33" spans="2:14" ht="16.5" thickBot="1" x14ac:dyDescent="0.35">
      <c r="B33" s="87" t="s">
        <v>30</v>
      </c>
      <c r="C33" s="88"/>
      <c r="D33" s="88"/>
      <c r="E33" s="88"/>
      <c r="F33" s="88"/>
      <c r="G33" s="88"/>
      <c r="H33" s="88"/>
      <c r="I33" s="88"/>
      <c r="J33" s="88"/>
      <c r="K33" s="89"/>
      <c r="L33" s="2"/>
      <c r="M33" s="240">
        <f>F30+F31+F32+M30+M31+M32</f>
        <v>0.125</v>
      </c>
      <c r="N33" s="241"/>
    </row>
    <row r="34" spans="2:14" ht="16.5" thickBot="1" x14ac:dyDescent="0.35">
      <c r="B34" s="231" t="s">
        <v>100</v>
      </c>
      <c r="C34" s="232"/>
      <c r="D34" s="232"/>
      <c r="E34" s="232"/>
      <c r="F34" s="232"/>
      <c r="G34" s="232"/>
      <c r="H34" s="232"/>
      <c r="I34" s="232"/>
      <c r="J34" s="232"/>
      <c r="K34" s="233"/>
      <c r="L34" s="2"/>
      <c r="M34" s="234">
        <f>M33+M28+M18</f>
        <v>0.77243287037037045</v>
      </c>
      <c r="N34" s="235"/>
    </row>
    <row r="35" spans="2:14" ht="15.75" thickBot="1" x14ac:dyDescent="0.3">
      <c r="B35" s="107" t="s">
        <v>63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</row>
    <row r="36" spans="2:14" ht="16.5" thickBot="1" x14ac:dyDescent="0.35">
      <c r="B36" s="67" t="s">
        <v>0</v>
      </c>
      <c r="C36" s="68"/>
      <c r="D36" s="68"/>
      <c r="E36" s="68"/>
      <c r="F36" s="68"/>
      <c r="G36" s="68"/>
      <c r="H36" s="68"/>
      <c r="I36" s="68"/>
      <c r="J36" s="68"/>
      <c r="K36" s="69"/>
      <c r="L36" s="2"/>
      <c r="M36" s="67" t="s">
        <v>1</v>
      </c>
      <c r="N36" s="69"/>
    </row>
    <row r="37" spans="2:14" ht="15.75" x14ac:dyDescent="0.3">
      <c r="B37" s="110" t="s">
        <v>2</v>
      </c>
      <c r="C37" s="111"/>
      <c r="D37" s="111"/>
      <c r="E37" s="111"/>
      <c r="F37" s="111"/>
      <c r="G37" s="111"/>
      <c r="H37" s="111"/>
      <c r="I37" s="111"/>
      <c r="J37" s="111"/>
      <c r="K37" s="112"/>
      <c r="L37" s="2"/>
      <c r="M37" s="184">
        <v>2265</v>
      </c>
      <c r="N37" s="186"/>
    </row>
    <row r="38" spans="2:14" ht="15.75" x14ac:dyDescent="0.3">
      <c r="B38" s="79" t="s">
        <v>3</v>
      </c>
      <c r="C38" s="80"/>
      <c r="D38" s="80"/>
      <c r="E38" s="80"/>
      <c r="F38" s="80"/>
      <c r="G38" s="80"/>
      <c r="H38" s="80"/>
      <c r="I38" s="80"/>
      <c r="J38" s="80"/>
      <c r="K38" s="81"/>
      <c r="L38" s="2"/>
      <c r="M38" s="148">
        <v>1542.87</v>
      </c>
      <c r="N38" s="136"/>
    </row>
    <row r="39" spans="2:14" ht="16.5" thickBot="1" x14ac:dyDescent="0.35">
      <c r="B39" s="226" t="s">
        <v>4</v>
      </c>
      <c r="C39" s="227"/>
      <c r="D39" s="227"/>
      <c r="E39" s="227"/>
      <c r="F39" s="227"/>
      <c r="G39" s="227"/>
      <c r="H39" s="227"/>
      <c r="I39" s="227"/>
      <c r="J39" s="227"/>
      <c r="K39" s="228"/>
      <c r="L39" s="2"/>
      <c r="M39" s="229">
        <v>1412</v>
      </c>
      <c r="N39" s="230"/>
    </row>
    <row r="40" spans="2:14" ht="15.75" thickBot="1" x14ac:dyDescent="0.3">
      <c r="B40" s="220" t="s">
        <v>62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2"/>
    </row>
    <row r="41" spans="2:14" ht="16.5" thickBot="1" x14ac:dyDescent="0.35">
      <c r="B41" s="206"/>
      <c r="C41" s="206"/>
      <c r="D41" s="206"/>
      <c r="E41" s="206"/>
      <c r="F41" s="206"/>
      <c r="G41" s="206"/>
      <c r="H41" s="2"/>
      <c r="I41" s="223" t="s">
        <v>149</v>
      </c>
      <c r="J41" s="224"/>
      <c r="K41" s="225"/>
      <c r="L41" s="2"/>
      <c r="M41" s="17">
        <v>1</v>
      </c>
      <c r="N41" s="18">
        <v>0.05</v>
      </c>
    </row>
    <row r="42" spans="2:14" ht="15.75" x14ac:dyDescent="0.3">
      <c r="B42" s="132" t="s">
        <v>50</v>
      </c>
      <c r="C42" s="132"/>
      <c r="D42" s="132"/>
      <c r="E42" s="4"/>
      <c r="F42" s="121">
        <v>2375</v>
      </c>
      <c r="G42" s="120"/>
      <c r="H42" s="2"/>
      <c r="I42" s="132" t="s">
        <v>36</v>
      </c>
      <c r="J42" s="132"/>
      <c r="K42" s="132"/>
      <c r="L42" s="1"/>
      <c r="M42" s="118">
        <v>44</v>
      </c>
      <c r="N42" s="120"/>
    </row>
    <row r="43" spans="2:14" ht="15.75" x14ac:dyDescent="0.3">
      <c r="B43" s="132" t="s">
        <v>35</v>
      </c>
      <c r="C43" s="132"/>
      <c r="D43" s="132"/>
      <c r="E43" s="1"/>
      <c r="F43" s="148">
        <v>1412</v>
      </c>
      <c r="G43" s="136"/>
      <c r="H43" s="2"/>
      <c r="I43" s="132" t="s">
        <v>51</v>
      </c>
      <c r="J43" s="132"/>
      <c r="K43" s="132"/>
      <c r="L43" s="1"/>
      <c r="M43" s="219">
        <f>M42/6*30</f>
        <v>220</v>
      </c>
      <c r="N43" s="84"/>
    </row>
    <row r="44" spans="2:14" ht="15.75" x14ac:dyDescent="0.3">
      <c r="B44" s="1"/>
      <c r="C44" s="1"/>
      <c r="D44" s="1"/>
      <c r="E44" s="1"/>
      <c r="F44" s="147" t="s">
        <v>33</v>
      </c>
      <c r="G44" s="147"/>
      <c r="H44" s="2"/>
      <c r="I44" s="147" t="s">
        <v>37</v>
      </c>
      <c r="J44" s="147"/>
      <c r="K44" s="147"/>
      <c r="L44" s="2"/>
      <c r="M44" s="218" t="s">
        <v>38</v>
      </c>
      <c r="N44" s="218"/>
    </row>
    <row r="45" spans="2:14" ht="15.75" x14ac:dyDescent="0.3">
      <c r="B45" s="132" t="s">
        <v>49</v>
      </c>
      <c r="C45" s="132"/>
      <c r="D45" s="132"/>
      <c r="E45" s="1"/>
      <c r="F45" s="118"/>
      <c r="G45" s="120"/>
      <c r="H45" s="2"/>
      <c r="I45" s="217">
        <f>F42/M43*(1+100%)</f>
        <v>21.59090909090909</v>
      </c>
      <c r="J45" s="217"/>
      <c r="K45" s="215"/>
      <c r="L45" s="2"/>
      <c r="M45" s="207">
        <f>I45*F45</f>
        <v>0</v>
      </c>
      <c r="N45" s="207"/>
    </row>
    <row r="46" spans="2:14" ht="15.75" x14ac:dyDescent="0.3">
      <c r="B46" s="132" t="s">
        <v>48</v>
      </c>
      <c r="C46" s="132"/>
      <c r="D46" s="132"/>
      <c r="E46" s="1"/>
      <c r="F46" s="118"/>
      <c r="G46" s="120"/>
      <c r="H46" s="2"/>
      <c r="I46" s="217">
        <f>F42/M43*(1+50%)</f>
        <v>16.193181818181817</v>
      </c>
      <c r="J46" s="217"/>
      <c r="K46" s="215"/>
      <c r="L46" s="2"/>
      <c r="M46" s="207">
        <f>I46*F46</f>
        <v>0</v>
      </c>
      <c r="N46" s="207"/>
    </row>
    <row r="47" spans="2:14" ht="15.75" x14ac:dyDescent="0.3">
      <c r="B47" s="132" t="s">
        <v>144</v>
      </c>
      <c r="C47" s="132"/>
      <c r="D47" s="132"/>
      <c r="E47" s="1"/>
      <c r="F47" s="138">
        <v>0.4</v>
      </c>
      <c r="G47" s="120"/>
      <c r="H47" s="2"/>
      <c r="I47" s="145"/>
      <c r="J47" s="145"/>
      <c r="K47" s="145"/>
      <c r="L47" s="2"/>
      <c r="M47" s="207">
        <f>F43*F47</f>
        <v>564.80000000000007</v>
      </c>
      <c r="N47" s="207"/>
    </row>
    <row r="48" spans="2:14" ht="15.75" x14ac:dyDescent="0.3">
      <c r="B48" s="1"/>
      <c r="C48" s="1"/>
      <c r="D48" s="1"/>
      <c r="E48" s="1"/>
      <c r="F48" s="1"/>
      <c r="G48" s="1"/>
      <c r="H48" s="5"/>
      <c r="I48" s="149" t="s">
        <v>52</v>
      </c>
      <c r="J48" s="150"/>
      <c r="K48" s="150"/>
      <c r="L48" s="6"/>
      <c r="M48" s="213">
        <f>F42+M45+M46+M47</f>
        <v>2939.8</v>
      </c>
      <c r="N48" s="123"/>
    </row>
    <row r="49" spans="2:14" ht="15.75" x14ac:dyDescent="0.3">
      <c r="B49" s="132" t="s">
        <v>39</v>
      </c>
      <c r="C49" s="132"/>
      <c r="D49" s="132"/>
      <c r="E49" s="1"/>
      <c r="F49" s="216">
        <f>M34</f>
        <v>0.77243287037037045</v>
      </c>
      <c r="G49" s="102"/>
      <c r="H49" s="5"/>
      <c r="I49" s="149" t="s">
        <v>53</v>
      </c>
      <c r="J49" s="150"/>
      <c r="K49" s="150"/>
      <c r="L49" s="6"/>
      <c r="M49" s="213">
        <f>M48*F49</f>
        <v>2270.7981523148151</v>
      </c>
      <c r="N49" s="123"/>
    </row>
    <row r="50" spans="2:14" ht="15.75" x14ac:dyDescent="0.3">
      <c r="B50" s="1"/>
      <c r="C50" s="1"/>
      <c r="D50" s="1"/>
      <c r="E50" s="1"/>
      <c r="F50" s="1"/>
      <c r="G50" s="1"/>
      <c r="H50" s="5"/>
      <c r="I50" s="149" t="s">
        <v>54</v>
      </c>
      <c r="J50" s="150"/>
      <c r="K50" s="150"/>
      <c r="L50" s="3"/>
      <c r="M50" s="213">
        <f>M49+M48</f>
        <v>5210.5981523148148</v>
      </c>
      <c r="N50" s="123"/>
    </row>
    <row r="51" spans="2:14" ht="15.75" x14ac:dyDescent="0.3">
      <c r="B51" s="214" t="s">
        <v>40</v>
      </c>
      <c r="C51" s="214"/>
      <c r="D51" s="214"/>
      <c r="E51" s="1"/>
      <c r="F51" s="148"/>
      <c r="G51" s="136"/>
      <c r="H51" s="2"/>
      <c r="I51" s="1"/>
      <c r="J51" s="1"/>
      <c r="K51" s="1"/>
      <c r="L51" s="2"/>
      <c r="M51" s="207">
        <f>F51</f>
        <v>0</v>
      </c>
      <c r="N51" s="207"/>
    </row>
    <row r="52" spans="2:14" ht="15.75" x14ac:dyDescent="0.3">
      <c r="B52" s="132" t="s">
        <v>41</v>
      </c>
      <c r="C52" s="132"/>
      <c r="D52" s="132"/>
      <c r="E52" s="1"/>
      <c r="F52" s="148">
        <f>500.85/30</f>
        <v>16.695</v>
      </c>
      <c r="G52" s="136"/>
      <c r="H52" s="4"/>
      <c r="I52" s="4"/>
      <c r="J52" s="4"/>
      <c r="K52" s="4"/>
      <c r="L52" s="2"/>
      <c r="M52" s="207">
        <f>(F52*30)*1</f>
        <v>500.85</v>
      </c>
      <c r="N52" s="207"/>
    </row>
    <row r="53" spans="2:14" ht="15.75" x14ac:dyDescent="0.3">
      <c r="B53" s="132" t="s">
        <v>42</v>
      </c>
      <c r="C53" s="132"/>
      <c r="D53" s="132"/>
      <c r="E53" s="1"/>
      <c r="F53" s="148"/>
      <c r="G53" s="136"/>
      <c r="H53" s="2"/>
      <c r="I53" s="1"/>
      <c r="J53" s="1"/>
      <c r="K53" s="1"/>
      <c r="L53" s="2"/>
      <c r="M53" s="207">
        <f>F53</f>
        <v>0</v>
      </c>
      <c r="N53" s="207"/>
    </row>
    <row r="54" spans="2:14" ht="15.75" x14ac:dyDescent="0.3">
      <c r="B54" s="132" t="s">
        <v>44</v>
      </c>
      <c r="C54" s="132"/>
      <c r="D54" s="132"/>
      <c r="E54" s="1"/>
      <c r="F54" s="148">
        <f>F42*2%</f>
        <v>47.5</v>
      </c>
      <c r="G54" s="136"/>
      <c r="H54" s="4"/>
      <c r="I54" s="4"/>
      <c r="J54" s="4"/>
      <c r="K54" s="4"/>
      <c r="L54" s="4"/>
      <c r="M54" s="207">
        <f>F54</f>
        <v>47.5</v>
      </c>
      <c r="N54" s="207"/>
    </row>
    <row r="55" spans="2:14" ht="15.75" x14ac:dyDescent="0.3">
      <c r="B55" s="132" t="s">
        <v>43</v>
      </c>
      <c r="C55" s="132"/>
      <c r="D55" s="132"/>
      <c r="E55" s="1"/>
      <c r="F55" s="148"/>
      <c r="G55" s="136"/>
      <c r="H55" s="2"/>
      <c r="I55" s="4"/>
      <c r="J55" s="4"/>
      <c r="K55" s="4"/>
      <c r="L55" s="2"/>
      <c r="M55" s="207">
        <f>F55</f>
        <v>0</v>
      </c>
      <c r="N55" s="207"/>
    </row>
    <row r="56" spans="2:14" ht="15.75" x14ac:dyDescent="0.3">
      <c r="B56" s="132" t="s">
        <v>159</v>
      </c>
      <c r="C56" s="132"/>
      <c r="D56" s="132"/>
      <c r="E56" s="1"/>
      <c r="F56" s="148">
        <v>0</v>
      </c>
      <c r="G56" s="136"/>
      <c r="H56" s="2"/>
      <c r="I56" s="4"/>
      <c r="J56" s="4"/>
      <c r="K56" s="4"/>
      <c r="L56" s="2"/>
      <c r="M56" s="207">
        <f>F56</f>
        <v>0</v>
      </c>
      <c r="N56" s="207"/>
    </row>
    <row r="57" spans="2:14" ht="16.5" thickBot="1" x14ac:dyDescent="0.35">
      <c r="B57" s="132" t="s">
        <v>46</v>
      </c>
      <c r="C57" s="132"/>
      <c r="D57" s="132"/>
      <c r="E57" s="1"/>
      <c r="F57" s="208">
        <f>SUM(M50:N56)</f>
        <v>5758.9481523148152</v>
      </c>
      <c r="G57" s="209"/>
      <c r="H57" s="2"/>
      <c r="I57" s="210" t="s">
        <v>45</v>
      </c>
      <c r="J57" s="211"/>
      <c r="K57" s="211"/>
      <c r="L57" s="211"/>
      <c r="M57" s="212">
        <f>F57*M41*N41</f>
        <v>287.94740761574076</v>
      </c>
      <c r="N57" s="209"/>
    </row>
    <row r="58" spans="2:14" ht="15.75" thickBot="1" x14ac:dyDescent="0.3">
      <c r="B58" s="220" t="s">
        <v>61</v>
      </c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2"/>
    </row>
    <row r="59" spans="2:14" ht="16.5" thickBot="1" x14ac:dyDescent="0.35">
      <c r="B59" s="206"/>
      <c r="C59" s="206"/>
      <c r="D59" s="206"/>
      <c r="E59" s="206"/>
      <c r="F59" s="206"/>
      <c r="G59" s="206"/>
      <c r="H59" s="2"/>
      <c r="I59" s="223" t="s">
        <v>150</v>
      </c>
      <c r="J59" s="224"/>
      <c r="K59" s="225"/>
      <c r="L59" s="2"/>
      <c r="M59" s="17">
        <v>0</v>
      </c>
      <c r="N59" s="18">
        <v>0.1</v>
      </c>
    </row>
    <row r="60" spans="2:14" ht="15.75" x14ac:dyDescent="0.3">
      <c r="B60" s="132" t="s">
        <v>50</v>
      </c>
      <c r="C60" s="132"/>
      <c r="D60" s="132"/>
      <c r="E60" s="4"/>
      <c r="F60" s="121">
        <v>1650.87</v>
      </c>
      <c r="G60" s="120"/>
      <c r="H60" s="2"/>
      <c r="I60" s="132" t="s">
        <v>36</v>
      </c>
      <c r="J60" s="132"/>
      <c r="K60" s="132"/>
      <c r="L60" s="1"/>
      <c r="M60" s="118">
        <v>44</v>
      </c>
      <c r="N60" s="120"/>
    </row>
    <row r="61" spans="2:14" ht="15.75" x14ac:dyDescent="0.3">
      <c r="B61" s="132" t="s">
        <v>35</v>
      </c>
      <c r="C61" s="132"/>
      <c r="D61" s="132"/>
      <c r="E61" s="1"/>
      <c r="F61" s="121">
        <v>1412</v>
      </c>
      <c r="G61" s="120"/>
      <c r="H61" s="2"/>
      <c r="I61" s="132" t="s">
        <v>51</v>
      </c>
      <c r="J61" s="132"/>
      <c r="K61" s="132"/>
      <c r="L61" s="1"/>
      <c r="M61" s="219">
        <f>M60/6*30</f>
        <v>220</v>
      </c>
      <c r="N61" s="84"/>
    </row>
    <row r="62" spans="2:14" ht="15.75" x14ac:dyDescent="0.3">
      <c r="B62" s="1"/>
      <c r="C62" s="1"/>
      <c r="D62" s="1"/>
      <c r="E62" s="1"/>
      <c r="F62" s="147" t="s">
        <v>33</v>
      </c>
      <c r="G62" s="147"/>
      <c r="H62" s="2"/>
      <c r="I62" s="147" t="s">
        <v>37</v>
      </c>
      <c r="J62" s="147"/>
      <c r="K62" s="147"/>
      <c r="L62" s="2"/>
      <c r="M62" s="218" t="s">
        <v>38</v>
      </c>
      <c r="N62" s="218"/>
    </row>
    <row r="63" spans="2:14" ht="15.75" x14ac:dyDescent="0.3">
      <c r="B63" s="132" t="s">
        <v>49</v>
      </c>
      <c r="C63" s="132"/>
      <c r="D63" s="132"/>
      <c r="E63" s="1"/>
      <c r="F63" s="118"/>
      <c r="G63" s="120"/>
      <c r="H63" s="2"/>
      <c r="I63" s="217">
        <f>F60/M61*(1+100%)</f>
        <v>15.00790909090909</v>
      </c>
      <c r="J63" s="217"/>
      <c r="K63" s="215"/>
      <c r="L63" s="2"/>
      <c r="M63" s="207">
        <f>I63*F63</f>
        <v>0</v>
      </c>
      <c r="N63" s="207"/>
    </row>
    <row r="64" spans="2:14" ht="15.75" x14ac:dyDescent="0.3">
      <c r="B64" s="132" t="s">
        <v>48</v>
      </c>
      <c r="C64" s="132"/>
      <c r="D64" s="132"/>
      <c r="E64" s="1"/>
      <c r="F64" s="118"/>
      <c r="G64" s="120"/>
      <c r="H64" s="2"/>
      <c r="I64" s="217">
        <f>F60/M61*(1+50%)</f>
        <v>11.255931818181818</v>
      </c>
      <c r="J64" s="217"/>
      <c r="K64" s="215"/>
      <c r="L64" s="2"/>
      <c r="M64" s="207">
        <f>I64*F64</f>
        <v>0</v>
      </c>
      <c r="N64" s="207"/>
    </row>
    <row r="65" spans="2:14" ht="15.75" x14ac:dyDescent="0.3">
      <c r="B65" s="132" t="s">
        <v>47</v>
      </c>
      <c r="C65" s="132"/>
      <c r="D65" s="132"/>
      <c r="E65" s="1"/>
      <c r="F65" s="138">
        <v>0.4</v>
      </c>
      <c r="G65" s="120"/>
      <c r="H65" s="2"/>
      <c r="I65" s="145"/>
      <c r="J65" s="145"/>
      <c r="K65" s="145"/>
      <c r="L65" s="2"/>
      <c r="M65" s="207">
        <f>F61*F65</f>
        <v>564.80000000000007</v>
      </c>
      <c r="N65" s="207"/>
    </row>
    <row r="66" spans="2:14" ht="15.75" x14ac:dyDescent="0.3">
      <c r="B66" s="1"/>
      <c r="C66" s="1"/>
      <c r="D66" s="1"/>
      <c r="E66" s="1"/>
      <c r="F66" s="1"/>
      <c r="G66" s="1"/>
      <c r="H66" s="5"/>
      <c r="I66" s="149" t="s">
        <v>52</v>
      </c>
      <c r="J66" s="150"/>
      <c r="K66" s="150"/>
      <c r="L66" s="6"/>
      <c r="M66" s="213">
        <f>F60+M63+M64+M65</f>
        <v>2215.67</v>
      </c>
      <c r="N66" s="123"/>
    </row>
    <row r="67" spans="2:14" ht="15.75" x14ac:dyDescent="0.3">
      <c r="B67" s="132" t="s">
        <v>39</v>
      </c>
      <c r="C67" s="132"/>
      <c r="D67" s="132"/>
      <c r="E67" s="1"/>
      <c r="F67" s="216">
        <f>M34</f>
        <v>0.77243287037037045</v>
      </c>
      <c r="G67" s="102"/>
      <c r="H67" s="5"/>
      <c r="I67" s="149" t="s">
        <v>53</v>
      </c>
      <c r="J67" s="150"/>
      <c r="K67" s="150"/>
      <c r="L67" s="6"/>
      <c r="M67" s="213">
        <f>M66*F67</f>
        <v>1711.4563378935188</v>
      </c>
      <c r="N67" s="123"/>
    </row>
    <row r="68" spans="2:14" ht="15.75" x14ac:dyDescent="0.3">
      <c r="B68" s="1"/>
      <c r="C68" s="1"/>
      <c r="D68" s="1"/>
      <c r="E68" s="1"/>
      <c r="F68" s="1"/>
      <c r="G68" s="1"/>
      <c r="H68" s="5"/>
      <c r="I68" s="149" t="s">
        <v>54</v>
      </c>
      <c r="J68" s="150"/>
      <c r="K68" s="150"/>
      <c r="L68" s="3"/>
      <c r="M68" s="213">
        <f>M67+M66</f>
        <v>3927.1263378935191</v>
      </c>
      <c r="N68" s="123"/>
    </row>
    <row r="69" spans="2:14" ht="15.75" x14ac:dyDescent="0.3">
      <c r="B69" s="214" t="s">
        <v>40</v>
      </c>
      <c r="C69" s="214"/>
      <c r="D69" s="214"/>
      <c r="E69" s="1"/>
      <c r="F69" s="148"/>
      <c r="G69" s="136"/>
      <c r="H69" s="2"/>
      <c r="I69" s="215"/>
      <c r="J69" s="215"/>
      <c r="K69" s="215"/>
      <c r="L69" s="2"/>
      <c r="M69" s="207">
        <f>F69</f>
        <v>0</v>
      </c>
      <c r="N69" s="207"/>
    </row>
    <row r="70" spans="2:14" ht="15.75" x14ac:dyDescent="0.3">
      <c r="B70" s="132" t="s">
        <v>41</v>
      </c>
      <c r="C70" s="132"/>
      <c r="D70" s="132"/>
      <c r="E70" s="1"/>
      <c r="F70" s="148">
        <f>500.85/30</f>
        <v>16.695</v>
      </c>
      <c r="G70" s="136"/>
      <c r="H70" s="4"/>
      <c r="I70" s="206"/>
      <c r="J70" s="206"/>
      <c r="K70" s="206"/>
      <c r="L70" s="2"/>
      <c r="M70" s="207">
        <f>(F70*30)*1</f>
        <v>500.85</v>
      </c>
      <c r="N70" s="207"/>
    </row>
    <row r="71" spans="2:14" ht="15.75" x14ac:dyDescent="0.3">
      <c r="B71" s="132" t="s">
        <v>55</v>
      </c>
      <c r="C71" s="132"/>
      <c r="D71" s="132"/>
      <c r="E71" s="1"/>
      <c r="F71" s="148"/>
      <c r="G71" s="136"/>
      <c r="H71" s="2"/>
      <c r="I71" s="145"/>
      <c r="J71" s="145"/>
      <c r="K71" s="145"/>
      <c r="L71" s="2"/>
      <c r="M71" s="207">
        <f>F71</f>
        <v>0</v>
      </c>
      <c r="N71" s="207"/>
    </row>
    <row r="72" spans="2:14" ht="15.75" x14ac:dyDescent="0.3">
      <c r="B72" s="132" t="s">
        <v>44</v>
      </c>
      <c r="C72" s="132"/>
      <c r="D72" s="132"/>
      <c r="E72" s="1"/>
      <c r="F72" s="148">
        <f>F60*2%</f>
        <v>33.017399999999995</v>
      </c>
      <c r="G72" s="136"/>
      <c r="H72" s="4"/>
      <c r="I72" s="206"/>
      <c r="J72" s="206"/>
      <c r="K72" s="206"/>
      <c r="L72" s="4"/>
      <c r="M72" s="207">
        <f>F72</f>
        <v>33.017399999999995</v>
      </c>
      <c r="N72" s="207"/>
    </row>
    <row r="73" spans="2:14" ht="15.75" x14ac:dyDescent="0.3">
      <c r="B73" s="132" t="s">
        <v>43</v>
      </c>
      <c r="C73" s="132"/>
      <c r="D73" s="132"/>
      <c r="E73" s="1"/>
      <c r="F73" s="148">
        <v>0</v>
      </c>
      <c r="G73" s="136"/>
      <c r="H73" s="2"/>
      <c r="I73" s="206"/>
      <c r="J73" s="206"/>
      <c r="K73" s="206"/>
      <c r="L73" s="2"/>
      <c r="M73" s="207">
        <f>F73</f>
        <v>0</v>
      </c>
      <c r="N73" s="207"/>
    </row>
    <row r="74" spans="2:14" ht="15.75" x14ac:dyDescent="0.3">
      <c r="B74" s="132" t="s">
        <v>159</v>
      </c>
      <c r="C74" s="132"/>
      <c r="D74" s="132"/>
      <c r="E74" s="1"/>
      <c r="F74" s="148">
        <v>114.6</v>
      </c>
      <c r="G74" s="136"/>
      <c r="H74" s="2"/>
      <c r="I74" s="206"/>
      <c r="J74" s="206"/>
      <c r="K74" s="206"/>
      <c r="L74" s="2"/>
      <c r="M74" s="207">
        <f>F74</f>
        <v>114.6</v>
      </c>
      <c r="N74" s="207"/>
    </row>
    <row r="75" spans="2:14" ht="16.5" thickBot="1" x14ac:dyDescent="0.35">
      <c r="B75" s="132" t="s">
        <v>155</v>
      </c>
      <c r="C75" s="132"/>
      <c r="D75" s="132"/>
      <c r="E75" s="1"/>
      <c r="F75" s="208">
        <f>SUM(M68:N74)</f>
        <v>4575.5937378935196</v>
      </c>
      <c r="G75" s="209"/>
      <c r="H75" s="2"/>
      <c r="I75" s="210" t="s">
        <v>45</v>
      </c>
      <c r="J75" s="211"/>
      <c r="K75" s="211"/>
      <c r="L75" s="101"/>
      <c r="M75" s="212">
        <f>F75*M59*N59</f>
        <v>0</v>
      </c>
      <c r="N75" s="209"/>
    </row>
    <row r="76" spans="2:14" ht="16.5" thickBot="1" x14ac:dyDescent="0.35">
      <c r="B76" s="67" t="s">
        <v>56</v>
      </c>
      <c r="C76" s="68"/>
      <c r="D76" s="68"/>
      <c r="E76" s="68"/>
      <c r="F76" s="68"/>
      <c r="G76" s="69"/>
      <c r="H76" s="4"/>
      <c r="I76" s="67" t="s">
        <v>1</v>
      </c>
      <c r="J76" s="68"/>
      <c r="K76" s="69"/>
      <c r="L76" s="2"/>
      <c r="M76" s="67" t="s">
        <v>60</v>
      </c>
      <c r="N76" s="69"/>
    </row>
    <row r="77" spans="2:14" ht="15.75" x14ac:dyDescent="0.3">
      <c r="B77" s="110" t="s">
        <v>57</v>
      </c>
      <c r="C77" s="111"/>
      <c r="D77" s="111"/>
      <c r="E77" s="111"/>
      <c r="F77" s="111"/>
      <c r="G77" s="111"/>
      <c r="H77" s="3"/>
      <c r="I77" s="203">
        <f>M57</f>
        <v>287.94740761574076</v>
      </c>
      <c r="J77" s="203"/>
      <c r="K77" s="115"/>
      <c r="L77" s="2"/>
      <c r="M77" s="204">
        <f>I77/I$79</f>
        <v>1</v>
      </c>
      <c r="N77" s="205"/>
    </row>
    <row r="78" spans="2:14" ht="15.75" x14ac:dyDescent="0.3">
      <c r="B78" s="79" t="s">
        <v>58</v>
      </c>
      <c r="C78" s="80"/>
      <c r="D78" s="80"/>
      <c r="E78" s="80"/>
      <c r="F78" s="80"/>
      <c r="G78" s="80"/>
      <c r="H78" s="3"/>
      <c r="I78" s="95">
        <f>M75</f>
        <v>0</v>
      </c>
      <c r="J78" s="95"/>
      <c r="K78" s="84"/>
      <c r="L78" s="2"/>
      <c r="M78" s="197">
        <f>I78/I$79</f>
        <v>0</v>
      </c>
      <c r="N78" s="198"/>
    </row>
    <row r="79" spans="2:14" ht="16.5" thickBot="1" x14ac:dyDescent="0.35">
      <c r="B79" s="151" t="s">
        <v>99</v>
      </c>
      <c r="C79" s="152"/>
      <c r="D79" s="152"/>
      <c r="E79" s="152"/>
      <c r="F79" s="152"/>
      <c r="G79" s="152"/>
      <c r="H79" s="19"/>
      <c r="I79" s="199">
        <f>SUM(I77:K78)</f>
        <v>287.94740761574076</v>
      </c>
      <c r="J79" s="199"/>
      <c r="K79" s="200"/>
      <c r="L79" s="2"/>
      <c r="M79" s="201">
        <f>M77+M78</f>
        <v>1</v>
      </c>
      <c r="N79" s="202"/>
    </row>
    <row r="80" spans="2:14" ht="15.75" thickBot="1" x14ac:dyDescent="0.3">
      <c r="B80" s="107" t="s">
        <v>83</v>
      </c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9"/>
    </row>
    <row r="81" spans="2:14" ht="15.75" x14ac:dyDescent="0.3">
      <c r="B81" s="110" t="s">
        <v>66</v>
      </c>
      <c r="C81" s="111"/>
      <c r="D81" s="112"/>
      <c r="E81" s="1"/>
      <c r="F81" s="184">
        <v>4000</v>
      </c>
      <c r="G81" s="186"/>
      <c r="H81" s="1"/>
      <c r="I81" s="110" t="s">
        <v>67</v>
      </c>
      <c r="J81" s="111"/>
      <c r="K81" s="112"/>
      <c r="L81" s="2"/>
      <c r="M81" s="184">
        <v>200</v>
      </c>
      <c r="N81" s="186"/>
    </row>
    <row r="82" spans="2:14" ht="15.75" x14ac:dyDescent="0.3">
      <c r="B82" s="79" t="s">
        <v>68</v>
      </c>
      <c r="C82" s="80"/>
      <c r="D82" s="81"/>
      <c r="E82" s="1"/>
      <c r="F82" s="148">
        <v>100</v>
      </c>
      <c r="G82" s="136"/>
      <c r="H82" s="1"/>
      <c r="I82" s="79" t="s">
        <v>73</v>
      </c>
      <c r="J82" s="80"/>
      <c r="K82" s="81"/>
      <c r="L82" s="2"/>
      <c r="M82" s="148">
        <v>600</v>
      </c>
      <c r="N82" s="136"/>
    </row>
    <row r="83" spans="2:14" ht="15.75" x14ac:dyDescent="0.3">
      <c r="B83" s="79" t="s">
        <v>69</v>
      </c>
      <c r="C83" s="80"/>
      <c r="D83" s="81"/>
      <c r="E83" s="1"/>
      <c r="F83" s="148">
        <v>750</v>
      </c>
      <c r="G83" s="136"/>
      <c r="H83" s="1"/>
      <c r="I83" s="79" t="s">
        <v>74</v>
      </c>
      <c r="J83" s="80"/>
      <c r="K83" s="81"/>
      <c r="L83" s="2"/>
      <c r="M83" s="148">
        <v>350</v>
      </c>
      <c r="N83" s="136"/>
    </row>
    <row r="84" spans="2:14" ht="15.75" x14ac:dyDescent="0.3">
      <c r="B84" s="79" t="s">
        <v>70</v>
      </c>
      <c r="C84" s="80"/>
      <c r="D84" s="81"/>
      <c r="E84" s="1"/>
      <c r="F84" s="148">
        <v>300</v>
      </c>
      <c r="G84" s="136"/>
      <c r="H84" s="1"/>
      <c r="I84" s="79" t="s">
        <v>84</v>
      </c>
      <c r="J84" s="80"/>
      <c r="K84" s="81"/>
      <c r="L84" s="2"/>
      <c r="M84" s="148">
        <v>2500</v>
      </c>
      <c r="N84" s="136"/>
    </row>
    <row r="85" spans="2:14" ht="15.75" x14ac:dyDescent="0.3">
      <c r="B85" s="79" t="s">
        <v>71</v>
      </c>
      <c r="C85" s="80"/>
      <c r="D85" s="81"/>
      <c r="E85" s="1"/>
      <c r="F85" s="148">
        <v>500</v>
      </c>
      <c r="G85" s="136"/>
      <c r="H85" s="1"/>
      <c r="I85" s="79" t="s">
        <v>72</v>
      </c>
      <c r="J85" s="80"/>
      <c r="K85" s="81"/>
      <c r="L85" s="2"/>
      <c r="M85" s="148">
        <v>100</v>
      </c>
      <c r="N85" s="136"/>
    </row>
    <row r="86" spans="2:14" ht="15.75" x14ac:dyDescent="0.3">
      <c r="B86" s="79" t="s">
        <v>75</v>
      </c>
      <c r="C86" s="80"/>
      <c r="D86" s="81"/>
      <c r="E86" s="1"/>
      <c r="F86" s="148">
        <v>400</v>
      </c>
      <c r="G86" s="136"/>
      <c r="H86" s="1"/>
      <c r="I86" s="79" t="s">
        <v>76</v>
      </c>
      <c r="J86" s="80"/>
      <c r="K86" s="81"/>
      <c r="L86" s="2"/>
      <c r="M86" s="148">
        <v>230</v>
      </c>
      <c r="N86" s="136"/>
    </row>
    <row r="87" spans="2:14" ht="15.75" x14ac:dyDescent="0.3">
      <c r="B87" s="79" t="s">
        <v>77</v>
      </c>
      <c r="C87" s="80"/>
      <c r="D87" s="81"/>
      <c r="E87" s="1"/>
      <c r="F87" s="148">
        <v>2750</v>
      </c>
      <c r="G87" s="136"/>
      <c r="H87" s="1"/>
      <c r="I87" s="79" t="s">
        <v>78</v>
      </c>
      <c r="J87" s="80"/>
      <c r="K87" s="81"/>
      <c r="L87" s="2"/>
      <c r="M87" s="148">
        <v>5000</v>
      </c>
      <c r="N87" s="136"/>
    </row>
    <row r="88" spans="2:14" ht="15.75" x14ac:dyDescent="0.3">
      <c r="B88" s="79" t="s">
        <v>79</v>
      </c>
      <c r="C88" s="80"/>
      <c r="D88" s="81"/>
      <c r="E88" s="1"/>
      <c r="F88" s="148">
        <v>1750</v>
      </c>
      <c r="G88" s="136"/>
      <c r="H88" s="1"/>
      <c r="I88" s="79" t="s">
        <v>80</v>
      </c>
      <c r="J88" s="80"/>
      <c r="K88" s="81"/>
      <c r="L88" s="2"/>
      <c r="M88" s="148">
        <v>150</v>
      </c>
      <c r="N88" s="136"/>
    </row>
    <row r="89" spans="2:14" ht="15.75" x14ac:dyDescent="0.3">
      <c r="B89" s="79" t="s">
        <v>81</v>
      </c>
      <c r="C89" s="80"/>
      <c r="D89" s="81"/>
      <c r="E89" s="1"/>
      <c r="F89" s="148">
        <v>90</v>
      </c>
      <c r="G89" s="136"/>
      <c r="H89" s="1"/>
      <c r="I89" s="79" t="s">
        <v>82</v>
      </c>
      <c r="J89" s="80"/>
      <c r="K89" s="81"/>
      <c r="L89" s="2"/>
      <c r="M89" s="148">
        <f>1212/2</f>
        <v>606</v>
      </c>
      <c r="N89" s="136"/>
    </row>
    <row r="90" spans="2:14" ht="15.75" x14ac:dyDescent="0.3">
      <c r="B90" s="79" t="s">
        <v>164</v>
      </c>
      <c r="C90" s="80"/>
      <c r="D90" s="81"/>
      <c r="E90" s="1"/>
      <c r="F90" s="148">
        <v>2500</v>
      </c>
      <c r="G90" s="136"/>
      <c r="H90" s="1"/>
      <c r="I90" s="79" t="s">
        <v>165</v>
      </c>
      <c r="J90" s="80"/>
      <c r="K90" s="81"/>
      <c r="L90" s="2"/>
      <c r="M90" s="148">
        <v>6000</v>
      </c>
      <c r="N90" s="136"/>
    </row>
    <row r="91" spans="2:14" ht="16.5" thickBot="1" x14ac:dyDescent="0.35">
      <c r="B91" s="26" t="s">
        <v>125</v>
      </c>
      <c r="C91" s="19"/>
      <c r="D91" s="19"/>
      <c r="E91" s="19"/>
      <c r="F91" s="19"/>
      <c r="G91" s="19"/>
      <c r="H91" s="19"/>
      <c r="I91" s="36" t="s">
        <v>163</v>
      </c>
      <c r="J91" s="19"/>
      <c r="K91" s="37">
        <v>0.01</v>
      </c>
      <c r="L91" s="2"/>
      <c r="M91" s="154">
        <f>SUM(F81:G90,M81:N90)*K91</f>
        <v>288.76</v>
      </c>
      <c r="N91" s="155"/>
    </row>
    <row r="92" spans="2:14" ht="15.75" thickBot="1" x14ac:dyDescent="0.3">
      <c r="B92" s="191" t="s">
        <v>85</v>
      </c>
      <c r="C92" s="192"/>
      <c r="D92" s="192"/>
      <c r="E92" s="192"/>
      <c r="F92" s="192"/>
      <c r="G92" s="192"/>
      <c r="H92" s="192"/>
      <c r="I92" s="108"/>
      <c r="J92" s="192"/>
      <c r="K92" s="192"/>
      <c r="L92" s="108"/>
      <c r="M92" s="108"/>
      <c r="N92" s="109"/>
    </row>
    <row r="93" spans="2:14" ht="16.5" thickBot="1" x14ac:dyDescent="0.35">
      <c r="B93" s="67" t="s">
        <v>58</v>
      </c>
      <c r="C93" s="68"/>
      <c r="D93" s="68"/>
      <c r="E93" s="68"/>
      <c r="F93" s="68"/>
      <c r="G93" s="68"/>
      <c r="H93" s="69"/>
      <c r="I93" s="4"/>
      <c r="J93" s="193" t="s">
        <v>97</v>
      </c>
      <c r="K93" s="194"/>
      <c r="L93" s="20"/>
      <c r="M93" s="195">
        <f>M59</f>
        <v>0</v>
      </c>
      <c r="N93" s="196"/>
    </row>
    <row r="94" spans="2:14" ht="15.75" thickBot="1" x14ac:dyDescent="0.3">
      <c r="B94" s="67" t="s">
        <v>32</v>
      </c>
      <c r="C94" s="68"/>
      <c r="D94" s="69"/>
      <c r="E94" s="4"/>
      <c r="F94" s="67" t="s">
        <v>93</v>
      </c>
      <c r="G94" s="68"/>
      <c r="H94" s="69"/>
      <c r="I94" s="4"/>
      <c r="J94" s="67" t="s">
        <v>94</v>
      </c>
      <c r="K94" s="69"/>
      <c r="L94" s="7"/>
      <c r="M94" s="67" t="s">
        <v>86</v>
      </c>
      <c r="N94" s="69"/>
    </row>
    <row r="95" spans="2:14" ht="15.75" x14ac:dyDescent="0.3">
      <c r="B95" s="110" t="s">
        <v>87</v>
      </c>
      <c r="C95" s="111"/>
      <c r="D95" s="112"/>
      <c r="E95" s="1"/>
      <c r="F95" s="184">
        <v>7.3</v>
      </c>
      <c r="G95" s="185"/>
      <c r="H95" s="186"/>
      <c r="I95" s="1"/>
      <c r="J95" s="187">
        <v>2</v>
      </c>
      <c r="K95" s="188"/>
      <c r="L95" s="2"/>
      <c r="M95" s="189">
        <f t="shared" ref="M95:M101" si="0">F95*J95/12</f>
        <v>1.2166666666666666</v>
      </c>
      <c r="N95" s="190"/>
    </row>
    <row r="96" spans="2:14" ht="15.75" x14ac:dyDescent="0.3">
      <c r="B96" s="79" t="s">
        <v>88</v>
      </c>
      <c r="C96" s="80"/>
      <c r="D96" s="81"/>
      <c r="E96" s="1"/>
      <c r="F96" s="148">
        <v>25.5</v>
      </c>
      <c r="G96" s="178"/>
      <c r="H96" s="136"/>
      <c r="I96" s="1"/>
      <c r="J96" s="118">
        <v>4</v>
      </c>
      <c r="K96" s="120"/>
      <c r="L96" s="2"/>
      <c r="M96" s="133">
        <f t="shared" si="0"/>
        <v>8.5</v>
      </c>
      <c r="N96" s="134"/>
    </row>
    <row r="97" spans="2:14" ht="15.75" x14ac:dyDescent="0.3">
      <c r="B97" s="79" t="s">
        <v>89</v>
      </c>
      <c r="C97" s="80"/>
      <c r="D97" s="81"/>
      <c r="E97" s="1"/>
      <c r="F97" s="148">
        <v>58</v>
      </c>
      <c r="G97" s="178"/>
      <c r="H97" s="136"/>
      <c r="I97" s="1"/>
      <c r="J97" s="118">
        <v>4</v>
      </c>
      <c r="K97" s="120"/>
      <c r="L97" s="2"/>
      <c r="M97" s="133">
        <f t="shared" si="0"/>
        <v>19.333333333333332</v>
      </c>
      <c r="N97" s="134"/>
    </row>
    <row r="98" spans="2:14" ht="15.75" x14ac:dyDescent="0.3">
      <c r="B98" s="79" t="s">
        <v>90</v>
      </c>
      <c r="C98" s="80"/>
      <c r="D98" s="81"/>
      <c r="E98" s="1"/>
      <c r="F98" s="148">
        <v>35.700000000000003</v>
      </c>
      <c r="G98" s="178"/>
      <c r="H98" s="136"/>
      <c r="I98" s="1"/>
      <c r="J98" s="118">
        <v>4</v>
      </c>
      <c r="K98" s="120"/>
      <c r="L98" s="2"/>
      <c r="M98" s="133">
        <f t="shared" si="0"/>
        <v>11.9</v>
      </c>
      <c r="N98" s="134"/>
    </row>
    <row r="99" spans="2:14" ht="15.75" x14ac:dyDescent="0.3">
      <c r="B99" s="79" t="s">
        <v>91</v>
      </c>
      <c r="C99" s="80"/>
      <c r="D99" s="81"/>
      <c r="E99" s="1"/>
      <c r="F99" s="148">
        <v>27.8</v>
      </c>
      <c r="G99" s="178"/>
      <c r="H99" s="136"/>
      <c r="I99" s="1"/>
      <c r="J99" s="118">
        <v>4</v>
      </c>
      <c r="K99" s="120"/>
      <c r="L99" s="2"/>
      <c r="M99" s="133">
        <f t="shared" si="0"/>
        <v>9.2666666666666675</v>
      </c>
      <c r="N99" s="134"/>
    </row>
    <row r="100" spans="2:14" ht="15.75" x14ac:dyDescent="0.3">
      <c r="B100" s="79" t="s">
        <v>92</v>
      </c>
      <c r="C100" s="80"/>
      <c r="D100" s="81"/>
      <c r="E100" s="1"/>
      <c r="F100" s="148">
        <v>7.8</v>
      </c>
      <c r="G100" s="178"/>
      <c r="H100" s="136"/>
      <c r="I100" s="1"/>
      <c r="J100" s="118">
        <v>6</v>
      </c>
      <c r="K100" s="120"/>
      <c r="L100" s="2"/>
      <c r="M100" s="133">
        <f t="shared" si="0"/>
        <v>3.9</v>
      </c>
      <c r="N100" s="134"/>
    </row>
    <row r="101" spans="2:14" ht="15.75" x14ac:dyDescent="0.3">
      <c r="B101" s="79" t="s">
        <v>145</v>
      </c>
      <c r="C101" s="80"/>
      <c r="D101" s="81"/>
      <c r="E101" s="1"/>
      <c r="F101" s="148">
        <v>19.5</v>
      </c>
      <c r="G101" s="178"/>
      <c r="H101" s="136"/>
      <c r="I101" s="1"/>
      <c r="J101" s="118">
        <v>12</v>
      </c>
      <c r="K101" s="120"/>
      <c r="L101" s="2"/>
      <c r="M101" s="133">
        <f t="shared" si="0"/>
        <v>19.5</v>
      </c>
      <c r="N101" s="134"/>
    </row>
    <row r="102" spans="2:14" ht="15.75" x14ac:dyDescent="0.3">
      <c r="B102" s="1"/>
      <c r="C102" s="1"/>
      <c r="D102" s="1"/>
      <c r="E102" s="1"/>
      <c r="F102" s="1"/>
      <c r="G102" s="1"/>
      <c r="H102" s="149" t="s">
        <v>95</v>
      </c>
      <c r="I102" s="150"/>
      <c r="J102" s="150"/>
      <c r="K102" s="173"/>
      <c r="L102" s="2"/>
      <c r="M102" s="133">
        <f>SUM(M95:N101)</f>
        <v>73.61666666666666</v>
      </c>
      <c r="N102" s="134"/>
    </row>
    <row r="103" spans="2:14" ht="15.75" x14ac:dyDescent="0.3">
      <c r="B103" s="1"/>
      <c r="C103" s="1"/>
      <c r="D103" s="1"/>
      <c r="E103" s="1"/>
      <c r="F103" s="1"/>
      <c r="G103" s="1"/>
      <c r="H103" s="149" t="s">
        <v>96</v>
      </c>
      <c r="I103" s="150"/>
      <c r="J103" s="150"/>
      <c r="K103" s="173"/>
      <c r="L103" s="2"/>
      <c r="M103" s="174">
        <f>M102*M93</f>
        <v>0</v>
      </c>
      <c r="N103" s="175"/>
    </row>
    <row r="104" spans="2:14" ht="15.75" x14ac:dyDescent="0.3">
      <c r="B104" s="179" t="s">
        <v>57</v>
      </c>
      <c r="C104" s="180"/>
      <c r="D104" s="180"/>
      <c r="E104" s="180"/>
      <c r="F104" s="180"/>
      <c r="G104" s="180"/>
      <c r="H104" s="181"/>
      <c r="I104" s="1"/>
      <c r="J104" s="182" t="s">
        <v>34</v>
      </c>
      <c r="K104" s="183"/>
      <c r="L104" s="8"/>
      <c r="M104" s="119">
        <f>M41</f>
        <v>1</v>
      </c>
      <c r="N104" s="120"/>
    </row>
    <row r="105" spans="2:14" x14ac:dyDescent="0.25">
      <c r="B105" s="179" t="s">
        <v>32</v>
      </c>
      <c r="C105" s="180"/>
      <c r="D105" s="181"/>
      <c r="E105" s="4"/>
      <c r="F105" s="179" t="s">
        <v>93</v>
      </c>
      <c r="G105" s="180"/>
      <c r="H105" s="181"/>
      <c r="I105" s="4"/>
      <c r="J105" s="179" t="s">
        <v>94</v>
      </c>
      <c r="K105" s="181"/>
      <c r="L105" s="7"/>
      <c r="M105" s="179" t="s">
        <v>86</v>
      </c>
      <c r="N105" s="181"/>
    </row>
    <row r="106" spans="2:14" ht="15.75" x14ac:dyDescent="0.3">
      <c r="B106" s="79" t="s">
        <v>87</v>
      </c>
      <c r="C106" s="80"/>
      <c r="D106" s="81"/>
      <c r="E106" s="1"/>
      <c r="F106" s="148">
        <f>F95</f>
        <v>7.3</v>
      </c>
      <c r="G106" s="178"/>
      <c r="H106" s="136"/>
      <c r="I106" s="1"/>
      <c r="J106" s="118">
        <v>2</v>
      </c>
      <c r="K106" s="120"/>
      <c r="L106" s="2"/>
      <c r="M106" s="133">
        <f>F106*J106/12</f>
        <v>1.2166666666666666</v>
      </c>
      <c r="N106" s="134"/>
    </row>
    <row r="107" spans="2:14" ht="15.75" x14ac:dyDescent="0.3">
      <c r="B107" s="79" t="s">
        <v>88</v>
      </c>
      <c r="C107" s="80"/>
      <c r="D107" s="81"/>
      <c r="E107" s="1"/>
      <c r="F107" s="148">
        <f>F96</f>
        <v>25.5</v>
      </c>
      <c r="G107" s="178"/>
      <c r="H107" s="136"/>
      <c r="I107" s="1"/>
      <c r="J107" s="118">
        <v>4</v>
      </c>
      <c r="K107" s="120"/>
      <c r="L107" s="2"/>
      <c r="M107" s="133">
        <f>F107*J107/12</f>
        <v>8.5</v>
      </c>
      <c r="N107" s="134"/>
    </row>
    <row r="108" spans="2:14" ht="15.75" x14ac:dyDescent="0.3">
      <c r="B108" s="79" t="s">
        <v>89</v>
      </c>
      <c r="C108" s="80"/>
      <c r="D108" s="81"/>
      <c r="E108" s="1"/>
      <c r="F108" s="148">
        <f>F97</f>
        <v>58</v>
      </c>
      <c r="G108" s="178"/>
      <c r="H108" s="136"/>
      <c r="I108" s="1"/>
      <c r="J108" s="118">
        <v>3</v>
      </c>
      <c r="K108" s="120"/>
      <c r="L108" s="2"/>
      <c r="M108" s="133">
        <f>F108*J108/12</f>
        <v>14.5</v>
      </c>
      <c r="N108" s="134"/>
    </row>
    <row r="109" spans="2:14" ht="15.75" x14ac:dyDescent="0.3">
      <c r="B109" s="79" t="s">
        <v>90</v>
      </c>
      <c r="C109" s="80"/>
      <c r="D109" s="81"/>
      <c r="E109" s="1"/>
      <c r="F109" s="148">
        <f>F98</f>
        <v>35.700000000000003</v>
      </c>
      <c r="G109" s="178"/>
      <c r="H109" s="136"/>
      <c r="I109" s="1"/>
      <c r="J109" s="118">
        <v>4</v>
      </c>
      <c r="K109" s="120"/>
      <c r="L109" s="2"/>
      <c r="M109" s="133">
        <f>F109*J109/12</f>
        <v>11.9</v>
      </c>
      <c r="N109" s="134"/>
    </row>
    <row r="110" spans="2:14" ht="15.75" x14ac:dyDescent="0.3">
      <c r="B110" s="79" t="s">
        <v>91</v>
      </c>
      <c r="C110" s="80"/>
      <c r="D110" s="81"/>
      <c r="E110" s="1"/>
      <c r="F110" s="148">
        <f>F99</f>
        <v>27.8</v>
      </c>
      <c r="G110" s="178"/>
      <c r="H110" s="136"/>
      <c r="I110" s="1"/>
      <c r="J110" s="118">
        <v>4</v>
      </c>
      <c r="K110" s="120"/>
      <c r="L110" s="2"/>
      <c r="M110" s="133">
        <f>F110*J110/12</f>
        <v>9.2666666666666675</v>
      </c>
      <c r="N110" s="134"/>
    </row>
    <row r="111" spans="2:14" ht="15.75" x14ac:dyDescent="0.3">
      <c r="B111" s="1"/>
      <c r="C111" s="1"/>
      <c r="D111" s="1"/>
      <c r="E111" s="1"/>
      <c r="F111" s="1"/>
      <c r="G111" s="1"/>
      <c r="H111" s="149" t="s">
        <v>98</v>
      </c>
      <c r="I111" s="150"/>
      <c r="J111" s="150"/>
      <c r="K111" s="173"/>
      <c r="L111" s="2"/>
      <c r="M111" s="133">
        <f>SUM(M106:N110)</f>
        <v>45.383333333333333</v>
      </c>
      <c r="N111" s="134"/>
    </row>
    <row r="112" spans="2:14" ht="15.75" x14ac:dyDescent="0.3">
      <c r="B112" s="1"/>
      <c r="C112" s="1"/>
      <c r="D112" s="1"/>
      <c r="E112" s="1"/>
      <c r="F112" s="1"/>
      <c r="G112" s="1"/>
      <c r="H112" s="149" t="s">
        <v>96</v>
      </c>
      <c r="I112" s="150"/>
      <c r="J112" s="150"/>
      <c r="K112" s="173"/>
      <c r="L112" s="2"/>
      <c r="M112" s="174">
        <f>M111*M104</f>
        <v>45.383333333333333</v>
      </c>
      <c r="N112" s="175"/>
    </row>
    <row r="113" spans="2:14" ht="16.5" thickBot="1" x14ac:dyDescent="0.35">
      <c r="B113" s="151" t="s">
        <v>124</v>
      </c>
      <c r="C113" s="152"/>
      <c r="D113" s="152"/>
      <c r="E113" s="152"/>
      <c r="F113" s="152"/>
      <c r="G113" s="152"/>
      <c r="H113" s="152"/>
      <c r="I113" s="152"/>
      <c r="J113" s="152"/>
      <c r="K113" s="153"/>
      <c r="L113" s="2"/>
      <c r="M113" s="154">
        <f>M103+M112</f>
        <v>45.383333333333333</v>
      </c>
      <c r="N113" s="155"/>
    </row>
    <row r="114" spans="2:14" ht="15.75" thickBot="1" x14ac:dyDescent="0.3">
      <c r="B114" s="107" t="s">
        <v>101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9"/>
    </row>
    <row r="115" spans="2:14" ht="16.5" thickBot="1" x14ac:dyDescent="0.35">
      <c r="B115" s="142" t="s">
        <v>146</v>
      </c>
      <c r="C115" s="143"/>
      <c r="D115" s="144"/>
      <c r="E115" s="24">
        <v>1</v>
      </c>
      <c r="F115" s="21">
        <v>0.1</v>
      </c>
      <c r="G115" s="1"/>
      <c r="H115" s="142" t="s">
        <v>161</v>
      </c>
      <c r="I115" s="143"/>
      <c r="J115" s="143"/>
      <c r="K115" s="143"/>
      <c r="L115" s="144"/>
      <c r="M115" s="176">
        <v>150</v>
      </c>
      <c r="N115" s="177"/>
    </row>
    <row r="116" spans="2:14" ht="15.75" thickBot="1" x14ac:dyDescent="0.3">
      <c r="B116" s="162" t="s">
        <v>106</v>
      </c>
      <c r="C116" s="163"/>
      <c r="D116" s="164"/>
      <c r="E116" s="162" t="s">
        <v>105</v>
      </c>
      <c r="F116" s="164"/>
      <c r="G116" s="13"/>
      <c r="H116" s="165" t="s">
        <v>104</v>
      </c>
      <c r="I116" s="166"/>
      <c r="J116" s="13"/>
      <c r="K116" s="23" t="s">
        <v>103</v>
      </c>
      <c r="L116" s="14"/>
      <c r="M116" s="165" t="s">
        <v>102</v>
      </c>
      <c r="N116" s="166"/>
    </row>
    <row r="117" spans="2:14" ht="15.75" x14ac:dyDescent="0.3">
      <c r="B117" s="110" t="s">
        <v>107</v>
      </c>
      <c r="C117" s="111"/>
      <c r="D117" s="111"/>
      <c r="E117" s="167">
        <f>1/2.5</f>
        <v>0.4</v>
      </c>
      <c r="F117" s="168"/>
      <c r="G117" s="1"/>
      <c r="H117" s="169">
        <v>4.99</v>
      </c>
      <c r="I117" s="170"/>
      <c r="J117" s="1"/>
      <c r="K117" s="22">
        <f>M115*E117*H117*E115</f>
        <v>299.40000000000003</v>
      </c>
      <c r="L117" s="2"/>
      <c r="M117" s="171">
        <f>K117/M115</f>
        <v>1.9960000000000002</v>
      </c>
      <c r="N117" s="172"/>
    </row>
    <row r="118" spans="2:14" ht="15.75" x14ac:dyDescent="0.3">
      <c r="B118" s="79" t="s">
        <v>108</v>
      </c>
      <c r="C118" s="80"/>
      <c r="D118" s="80"/>
      <c r="E118" s="156">
        <v>0.01</v>
      </c>
      <c r="F118" s="157"/>
      <c r="G118" s="1"/>
      <c r="H118" s="158">
        <v>21.5</v>
      </c>
      <c r="I118" s="159"/>
      <c r="J118" s="1"/>
      <c r="K118" s="10">
        <f>M115*E118*H118*E115</f>
        <v>32.25</v>
      </c>
      <c r="L118" s="2"/>
      <c r="M118" s="160">
        <f>K118/M115</f>
        <v>0.215</v>
      </c>
      <c r="N118" s="161"/>
    </row>
    <row r="119" spans="2:14" ht="15.75" x14ac:dyDescent="0.3">
      <c r="B119" s="79" t="s">
        <v>109</v>
      </c>
      <c r="C119" s="80"/>
      <c r="D119" s="80"/>
      <c r="E119" s="156">
        <v>3</v>
      </c>
      <c r="F119" s="157"/>
      <c r="G119" s="1"/>
      <c r="H119" s="158">
        <v>150</v>
      </c>
      <c r="I119" s="159"/>
      <c r="J119" s="1"/>
      <c r="K119" s="10">
        <f>H119*E119*E115</f>
        <v>450</v>
      </c>
      <c r="L119" s="2"/>
      <c r="M119" s="160">
        <f>K119/M115</f>
        <v>3</v>
      </c>
      <c r="N119" s="161"/>
    </row>
    <row r="120" spans="2:14" ht="15.75" x14ac:dyDescent="0.3">
      <c r="B120" s="79" t="s">
        <v>110</v>
      </c>
      <c r="C120" s="80"/>
      <c r="D120" s="80"/>
      <c r="E120" s="156">
        <f>1/12</f>
        <v>8.3333333333333329E-2</v>
      </c>
      <c r="F120" s="157"/>
      <c r="G120" s="1"/>
      <c r="H120" s="158">
        <v>9500</v>
      </c>
      <c r="I120" s="159"/>
      <c r="J120" s="1"/>
      <c r="K120" s="10">
        <f>(E120*H120)*E115</f>
        <v>791.66666666666663</v>
      </c>
      <c r="L120" s="2"/>
      <c r="M120" s="160">
        <f>K120/M115</f>
        <v>5.2777777777777777</v>
      </c>
      <c r="N120" s="161"/>
    </row>
    <row r="121" spans="2:14" ht="15.75" x14ac:dyDescent="0.3">
      <c r="B121" s="79" t="s">
        <v>111</v>
      </c>
      <c r="C121" s="80"/>
      <c r="D121" s="80"/>
      <c r="E121" s="156">
        <f>M115/20000</f>
        <v>7.4999999999999997E-3</v>
      </c>
      <c r="F121" s="157"/>
      <c r="G121" s="1"/>
      <c r="H121" s="158">
        <v>3500</v>
      </c>
      <c r="I121" s="159"/>
      <c r="J121" s="1"/>
      <c r="K121" s="10">
        <f>E121*H121*E115</f>
        <v>26.25</v>
      </c>
      <c r="L121" s="2"/>
      <c r="M121" s="160">
        <f>K121/M115</f>
        <v>0.17499999999999999</v>
      </c>
      <c r="N121" s="161"/>
    </row>
    <row r="122" spans="2:14" ht="15.75" x14ac:dyDescent="0.3">
      <c r="B122" s="79" t="s">
        <v>112</v>
      </c>
      <c r="C122" s="80"/>
      <c r="D122" s="80"/>
      <c r="E122" s="156">
        <f>((E115*10)*M115)/(1*35000)</f>
        <v>4.2857142857142858E-2</v>
      </c>
      <c r="F122" s="157"/>
      <c r="G122" s="1"/>
      <c r="H122" s="158">
        <v>2800</v>
      </c>
      <c r="I122" s="159"/>
      <c r="J122" s="1"/>
      <c r="K122" s="10">
        <f>H122*E122</f>
        <v>120</v>
      </c>
      <c r="L122" s="2"/>
      <c r="M122" s="160">
        <f>K122/M115</f>
        <v>0.8</v>
      </c>
      <c r="N122" s="161"/>
    </row>
    <row r="123" spans="2:14" ht="15.75" x14ac:dyDescent="0.3">
      <c r="B123" s="79" t="s">
        <v>113</v>
      </c>
      <c r="C123" s="80"/>
      <c r="D123" s="80"/>
      <c r="E123" s="156">
        <f>((E115*10)*M115)/(1*32000)</f>
        <v>4.6875E-2</v>
      </c>
      <c r="F123" s="157"/>
      <c r="G123" s="1"/>
      <c r="H123" s="158">
        <v>850</v>
      </c>
      <c r="I123" s="159"/>
      <c r="J123" s="1"/>
      <c r="K123" s="10">
        <f>H123*E123</f>
        <v>39.84375</v>
      </c>
      <c r="L123" s="2"/>
      <c r="M123" s="160">
        <f>K123/M115</f>
        <v>0.265625</v>
      </c>
      <c r="N123" s="161"/>
    </row>
    <row r="124" spans="2:14" ht="15.75" x14ac:dyDescent="0.3">
      <c r="B124" s="55"/>
      <c r="C124" s="55"/>
      <c r="D124" s="55"/>
      <c r="E124" s="55"/>
      <c r="F124" s="55"/>
      <c r="G124" s="55"/>
      <c r="H124" s="149" t="s">
        <v>114</v>
      </c>
      <c r="I124" s="150"/>
      <c r="J124" s="150"/>
      <c r="K124" s="150"/>
      <c r="L124" s="6"/>
      <c r="M124" s="131">
        <f>SUM(M117:N123)</f>
        <v>11.729402777777779</v>
      </c>
      <c r="N124" s="102"/>
    </row>
    <row r="125" spans="2:14" ht="16.5" thickBot="1" x14ac:dyDescent="0.35">
      <c r="B125" s="151" t="s">
        <v>126</v>
      </c>
      <c r="C125" s="152"/>
      <c r="D125" s="152"/>
      <c r="E125" s="152"/>
      <c r="F125" s="152"/>
      <c r="G125" s="152"/>
      <c r="H125" s="152"/>
      <c r="I125" s="152"/>
      <c r="J125" s="152"/>
      <c r="K125" s="153"/>
      <c r="L125" s="2"/>
      <c r="M125" s="154">
        <f>M124*M115*F115</f>
        <v>175.94104166666671</v>
      </c>
      <c r="N125" s="155"/>
    </row>
    <row r="126" spans="2:14" ht="15.75" thickBot="1" x14ac:dyDescent="0.3">
      <c r="B126" s="107" t="s">
        <v>169</v>
      </c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9"/>
    </row>
    <row r="127" spans="2:14" ht="16.5" thickBot="1" x14ac:dyDescent="0.35">
      <c r="B127" s="142" t="s">
        <v>158</v>
      </c>
      <c r="C127" s="143"/>
      <c r="D127" s="144"/>
      <c r="E127" s="25">
        <f>E115</f>
        <v>1</v>
      </c>
      <c r="F127" s="18">
        <v>0.1</v>
      </c>
      <c r="G127" s="145"/>
      <c r="H127" s="145"/>
      <c r="I127" s="145"/>
      <c r="J127" s="145"/>
      <c r="K127" s="145"/>
      <c r="L127" s="2"/>
      <c r="M127" s="146"/>
      <c r="N127" s="146"/>
    </row>
    <row r="128" spans="2:14" ht="15.75" x14ac:dyDescent="0.3">
      <c r="B128" s="145"/>
      <c r="C128" s="145"/>
      <c r="D128" s="145"/>
      <c r="E128" s="145"/>
      <c r="F128" s="145"/>
      <c r="G128" s="145"/>
      <c r="H128" s="145"/>
      <c r="I128" s="145"/>
      <c r="J128" s="1"/>
      <c r="K128" s="1"/>
      <c r="L128" s="12"/>
      <c r="M128" s="147" t="s">
        <v>1</v>
      </c>
      <c r="N128" s="147"/>
    </row>
    <row r="129" spans="2:14" ht="15.75" x14ac:dyDescent="0.3">
      <c r="B129" s="132" t="s">
        <v>135</v>
      </c>
      <c r="C129" s="132"/>
      <c r="D129" s="132"/>
      <c r="E129" s="132"/>
      <c r="F129" s="132"/>
      <c r="G129" s="132"/>
      <c r="H129" s="132"/>
      <c r="I129" s="132"/>
      <c r="J129" s="132"/>
      <c r="K129" s="132"/>
      <c r="L129" s="9"/>
      <c r="M129" s="148">
        <v>350000</v>
      </c>
      <c r="N129" s="136"/>
    </row>
    <row r="130" spans="2:14" ht="15.75" x14ac:dyDescent="0.3">
      <c r="B130" s="132" t="s">
        <v>115</v>
      </c>
      <c r="C130" s="132"/>
      <c r="D130" s="132"/>
      <c r="E130" s="132"/>
      <c r="F130" s="132"/>
      <c r="G130" s="132"/>
      <c r="H130" s="132"/>
      <c r="I130" s="132"/>
      <c r="J130" s="132"/>
      <c r="K130" s="132"/>
      <c r="L130" s="1"/>
      <c r="M130" s="118">
        <v>72</v>
      </c>
      <c r="N130" s="120"/>
    </row>
    <row r="131" spans="2:14" ht="15.75" x14ac:dyDescent="0.3">
      <c r="B131" s="132" t="s">
        <v>116</v>
      </c>
      <c r="C131" s="132"/>
      <c r="D131" s="132"/>
      <c r="E131" s="132"/>
      <c r="F131" s="132"/>
      <c r="G131" s="132"/>
      <c r="H131" s="132"/>
      <c r="I131" s="132"/>
      <c r="J131" s="132"/>
      <c r="K131" s="132"/>
      <c r="L131" s="1"/>
      <c r="M131" s="138">
        <v>0.4</v>
      </c>
      <c r="N131" s="139"/>
    </row>
    <row r="132" spans="2:14" ht="15.75" x14ac:dyDescent="0.3">
      <c r="B132" s="132" t="s">
        <v>156</v>
      </c>
      <c r="C132" s="132"/>
      <c r="D132" s="132"/>
      <c r="E132" s="132"/>
      <c r="F132" s="132"/>
      <c r="G132" s="132"/>
      <c r="H132" s="132"/>
      <c r="I132" s="132"/>
      <c r="J132" s="132"/>
      <c r="K132" s="132"/>
      <c r="L132" s="11"/>
      <c r="M132" s="140">
        <v>0.55000000000000004</v>
      </c>
      <c r="N132" s="141"/>
    </row>
    <row r="133" spans="2:14" ht="15.75" x14ac:dyDescent="0.3">
      <c r="B133" s="132" t="s">
        <v>157</v>
      </c>
      <c r="C133" s="132"/>
      <c r="D133" s="132"/>
      <c r="E133" s="132"/>
      <c r="F133" s="132"/>
      <c r="G133" s="132"/>
      <c r="H133" s="132"/>
      <c r="I133" s="132"/>
      <c r="J133" s="132"/>
      <c r="K133" s="132"/>
      <c r="L133" s="9"/>
      <c r="M133" s="133">
        <f>(M129*M132/M130)*E127</f>
        <v>2673.6111111111113</v>
      </c>
      <c r="N133" s="134"/>
    </row>
    <row r="134" spans="2:14" ht="15.75" x14ac:dyDescent="0.3">
      <c r="B134" s="132" t="s">
        <v>117</v>
      </c>
      <c r="C134" s="132"/>
      <c r="D134" s="132"/>
      <c r="E134" s="132"/>
      <c r="F134" s="132"/>
      <c r="G134" s="132"/>
      <c r="H134" s="132"/>
      <c r="I134" s="132"/>
      <c r="J134" s="132"/>
      <c r="K134" s="132"/>
      <c r="L134" s="9"/>
      <c r="M134" s="133">
        <f>(M129-(M129*M131))*E127/M130</f>
        <v>2916.6666666666665</v>
      </c>
      <c r="N134" s="134"/>
    </row>
    <row r="135" spans="2:14" ht="15.75" x14ac:dyDescent="0.3">
      <c r="B135" s="132" t="s">
        <v>118</v>
      </c>
      <c r="C135" s="132"/>
      <c r="D135" s="132"/>
      <c r="E135" s="132"/>
      <c r="F135" s="132"/>
      <c r="G135" s="132"/>
      <c r="H135" s="132"/>
      <c r="I135" s="132"/>
      <c r="J135" s="132"/>
      <c r="K135" s="132"/>
      <c r="L135" s="9"/>
      <c r="M135" s="133">
        <f>(PMT(M136,M130,M129)*E127*M130+(M129*E127))/M130 *(-1)</f>
        <v>2313.4684604442236</v>
      </c>
      <c r="N135" s="134"/>
    </row>
    <row r="136" spans="2:14" ht="15.75" x14ac:dyDescent="0.3">
      <c r="B136" s="132" t="s">
        <v>147</v>
      </c>
      <c r="C136" s="132"/>
      <c r="D136" s="132"/>
      <c r="E136" s="132"/>
      <c r="F136" s="132"/>
      <c r="G136" s="132"/>
      <c r="H136" s="132"/>
      <c r="I136" s="132"/>
      <c r="J136" s="132"/>
      <c r="K136" s="132"/>
      <c r="L136" s="9"/>
      <c r="M136" s="135">
        <v>1.15E-2</v>
      </c>
      <c r="N136" s="136"/>
    </row>
    <row r="137" spans="2:14" ht="15.75" x14ac:dyDescent="0.3">
      <c r="B137" s="132" t="s">
        <v>119</v>
      </c>
      <c r="C137" s="132"/>
      <c r="D137" s="132"/>
      <c r="E137" s="132"/>
      <c r="F137" s="132"/>
      <c r="G137" s="132"/>
      <c r="H137" s="132"/>
      <c r="I137" s="132"/>
      <c r="J137" s="132"/>
      <c r="K137" s="132"/>
      <c r="L137" s="9"/>
      <c r="M137" s="137">
        <f>M135</f>
        <v>2313.4684604442236</v>
      </c>
      <c r="N137" s="123"/>
    </row>
    <row r="138" spans="2:14" ht="15.75" x14ac:dyDescent="0.3">
      <c r="B138" s="1"/>
      <c r="C138" s="1"/>
      <c r="D138" s="1"/>
      <c r="E138" s="1"/>
      <c r="F138" s="1"/>
      <c r="G138" s="1"/>
      <c r="H138" s="1"/>
      <c r="I138" s="129" t="s">
        <v>120</v>
      </c>
      <c r="J138" s="130"/>
      <c r="K138" s="130"/>
      <c r="L138" s="3"/>
      <c r="M138" s="131">
        <f>((M137+M133+M134))*F127</f>
        <v>790.37462382220019</v>
      </c>
      <c r="N138" s="102"/>
    </row>
    <row r="139" spans="2:14" ht="16.5" thickBot="1" x14ac:dyDescent="0.35">
      <c r="B139" s="124" t="s">
        <v>127</v>
      </c>
      <c r="C139" s="125"/>
      <c r="D139" s="125"/>
      <c r="E139" s="125"/>
      <c r="F139" s="125"/>
      <c r="G139" s="125"/>
      <c r="H139" s="125"/>
      <c r="I139" s="125"/>
      <c r="J139" s="125"/>
      <c r="K139" s="126"/>
      <c r="L139" s="2"/>
      <c r="M139" s="127">
        <f>M138</f>
        <v>790.37462382220019</v>
      </c>
      <c r="N139" s="128"/>
    </row>
    <row r="140" spans="2:14" ht="15.75" thickBot="1" x14ac:dyDescent="0.3">
      <c r="B140" s="107" t="s">
        <v>162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9"/>
    </row>
    <row r="141" spans="2:14" ht="16.5" thickBot="1" x14ac:dyDescent="0.35">
      <c r="B141" s="67" t="s">
        <v>166</v>
      </c>
      <c r="C141" s="68"/>
      <c r="D141" s="68"/>
      <c r="E141" s="68"/>
      <c r="F141" s="69"/>
      <c r="G141" s="1"/>
      <c r="H141" s="67" t="s">
        <v>167</v>
      </c>
      <c r="I141" s="68"/>
      <c r="J141" s="68"/>
      <c r="K141" s="69"/>
      <c r="L141" s="1"/>
      <c r="M141" s="67" t="s">
        <v>38</v>
      </c>
      <c r="N141" s="69"/>
    </row>
    <row r="142" spans="2:14" ht="15.75" x14ac:dyDescent="0.3">
      <c r="B142" s="118">
        <v>480</v>
      </c>
      <c r="C142" s="119"/>
      <c r="D142" s="119"/>
      <c r="E142" s="119"/>
      <c r="F142" s="120"/>
      <c r="G142" s="1"/>
      <c r="H142" s="121">
        <v>241.825010001208</v>
      </c>
      <c r="I142" s="119"/>
      <c r="J142" s="119"/>
      <c r="K142" s="120"/>
      <c r="L142" s="1"/>
      <c r="M142" s="122">
        <f>B142*H142</f>
        <v>116076.00480057985</v>
      </c>
      <c r="N142" s="123"/>
    </row>
    <row r="143" spans="2:14" ht="16.5" thickBot="1" x14ac:dyDescent="0.35">
      <c r="B143" s="26" t="s">
        <v>148</v>
      </c>
      <c r="C143" s="19"/>
      <c r="D143" s="19"/>
      <c r="E143" s="19"/>
      <c r="F143" s="19"/>
      <c r="G143" s="19"/>
      <c r="H143" s="19"/>
      <c r="I143" s="19"/>
      <c r="J143" s="19"/>
      <c r="K143" s="27"/>
      <c r="L143" s="2"/>
      <c r="M143" s="105">
        <f>M142</f>
        <v>116076.00480057985</v>
      </c>
      <c r="N143" s="106"/>
    </row>
    <row r="144" spans="2:14" ht="15.75" thickBot="1" x14ac:dyDescent="0.3">
      <c r="B144" s="107" t="s">
        <v>121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9"/>
    </row>
    <row r="145" spans="2:14" ht="16.5" thickBot="1" x14ac:dyDescent="0.35">
      <c r="B145" s="67" t="s">
        <v>122</v>
      </c>
      <c r="C145" s="68"/>
      <c r="D145" s="68"/>
      <c r="E145" s="68"/>
      <c r="F145" s="69"/>
      <c r="G145" s="1"/>
      <c r="H145" s="67" t="s">
        <v>123</v>
      </c>
      <c r="I145" s="68"/>
      <c r="J145" s="68"/>
      <c r="K145" s="69"/>
      <c r="L145" s="1"/>
      <c r="M145" s="67" t="s">
        <v>60</v>
      </c>
      <c r="N145" s="69"/>
    </row>
    <row r="146" spans="2:14" ht="15.75" x14ac:dyDescent="0.3">
      <c r="B146" s="110" t="str">
        <f>B79</f>
        <v>Total Geral Mão de Obra</v>
      </c>
      <c r="C146" s="111"/>
      <c r="D146" s="111"/>
      <c r="E146" s="111"/>
      <c r="F146" s="112"/>
      <c r="G146" s="1"/>
      <c r="H146" s="113">
        <f>I79</f>
        <v>287.94740761574076</v>
      </c>
      <c r="I146" s="114"/>
      <c r="J146" s="114"/>
      <c r="K146" s="115"/>
      <c r="L146" s="1"/>
      <c r="M146" s="116">
        <f t="shared" ref="M146:M151" si="1">H146/H$153</f>
        <v>7.993046958515479E-3</v>
      </c>
      <c r="N146" s="117"/>
    </row>
    <row r="147" spans="2:14" ht="15.75" x14ac:dyDescent="0.3">
      <c r="B147" s="79" t="str">
        <f>B91</f>
        <v>Total Despesas Indiretas</v>
      </c>
      <c r="C147" s="80"/>
      <c r="D147" s="80"/>
      <c r="E147" s="80"/>
      <c r="F147" s="81"/>
      <c r="G147" s="1"/>
      <c r="H147" s="82">
        <f>M91</f>
        <v>288.76</v>
      </c>
      <c r="I147" s="83"/>
      <c r="J147" s="83"/>
      <c r="K147" s="84"/>
      <c r="L147" s="1"/>
      <c r="M147" s="85">
        <f t="shared" si="1"/>
        <v>8.0156034702732921E-3</v>
      </c>
      <c r="N147" s="86"/>
    </row>
    <row r="148" spans="2:14" ht="15.75" x14ac:dyDescent="0.3">
      <c r="B148" s="79" t="str">
        <f>B113</f>
        <v>Total Uniformes e Equipamentos de Segurança</v>
      </c>
      <c r="C148" s="80"/>
      <c r="D148" s="80"/>
      <c r="E148" s="80"/>
      <c r="F148" s="81"/>
      <c r="G148" s="1"/>
      <c r="H148" s="82">
        <f>M113</f>
        <v>45.383333333333333</v>
      </c>
      <c r="I148" s="83"/>
      <c r="J148" s="83"/>
      <c r="K148" s="84"/>
      <c r="L148" s="1"/>
      <c r="M148" s="85">
        <f t="shared" si="1"/>
        <v>1.2597825327581252E-3</v>
      </c>
      <c r="N148" s="86"/>
    </row>
    <row r="149" spans="2:14" ht="15.75" x14ac:dyDescent="0.3">
      <c r="B149" s="79" t="str">
        <f>B125</f>
        <v>Total Manutenção Mensal da Frota</v>
      </c>
      <c r="C149" s="80"/>
      <c r="D149" s="80"/>
      <c r="E149" s="80"/>
      <c r="F149" s="81"/>
      <c r="G149" s="1"/>
      <c r="H149" s="82">
        <f>M125</f>
        <v>175.94104166666671</v>
      </c>
      <c r="I149" s="83"/>
      <c r="J149" s="83"/>
      <c r="K149" s="84"/>
      <c r="L149" s="1"/>
      <c r="M149" s="85">
        <f t="shared" si="1"/>
        <v>4.8838953599765608E-3</v>
      </c>
      <c r="N149" s="86"/>
    </row>
    <row r="150" spans="2:14" ht="15.75" x14ac:dyDescent="0.3">
      <c r="B150" s="79" t="str">
        <f>B139</f>
        <v>Total do Custo Mensal da Frota</v>
      </c>
      <c r="C150" s="80"/>
      <c r="D150" s="80"/>
      <c r="E150" s="80"/>
      <c r="F150" s="81"/>
      <c r="G150" s="1"/>
      <c r="H150" s="82">
        <f>M138</f>
        <v>790.37462382220019</v>
      </c>
      <c r="I150" s="83"/>
      <c r="J150" s="83"/>
      <c r="K150" s="84"/>
      <c r="L150" s="1"/>
      <c r="M150" s="85">
        <f t="shared" si="1"/>
        <v>2.1939775514355091E-2</v>
      </c>
      <c r="N150" s="86"/>
    </row>
    <row r="151" spans="2:14" ht="15.75" x14ac:dyDescent="0.3">
      <c r="B151" s="79" t="s">
        <v>170</v>
      </c>
      <c r="C151" s="80"/>
      <c r="D151" s="80"/>
      <c r="E151" s="80"/>
      <c r="F151" s="81"/>
      <c r="G151" s="1"/>
      <c r="H151" s="82">
        <f>M143</f>
        <v>116076.00480057985</v>
      </c>
      <c r="I151" s="95"/>
      <c r="J151" s="95"/>
      <c r="K151" s="96"/>
      <c r="L151" s="1"/>
      <c r="M151" s="85">
        <f t="shared" si="1"/>
        <v>3.2221195002596867</v>
      </c>
      <c r="N151" s="86"/>
    </row>
    <row r="152" spans="2:14" ht="15.75" x14ac:dyDescent="0.3">
      <c r="B152" s="97" t="s">
        <v>128</v>
      </c>
      <c r="C152" s="98"/>
      <c r="D152" s="98"/>
      <c r="E152" s="98"/>
      <c r="F152" s="99"/>
      <c r="G152" s="1"/>
      <c r="H152" s="100">
        <f>SUM(H146:K151)</f>
        <v>117664.41120701778</v>
      </c>
      <c r="I152" s="101"/>
      <c r="J152" s="101"/>
      <c r="K152" s="102"/>
      <c r="L152" s="1"/>
      <c r="M152" s="103">
        <f>H152/H154</f>
        <v>0.76560000000000017</v>
      </c>
      <c r="N152" s="104"/>
    </row>
    <row r="153" spans="2:14" ht="15.75" x14ac:dyDescent="0.3">
      <c r="B153" s="79" t="s">
        <v>136</v>
      </c>
      <c r="C153" s="80"/>
      <c r="D153" s="81"/>
      <c r="E153" s="1"/>
      <c r="F153" s="38">
        <f>F162</f>
        <v>0.2344</v>
      </c>
      <c r="G153" s="1"/>
      <c r="H153" s="82">
        <f>H152/(1-F162)-H152</f>
        <v>36024.736137571774</v>
      </c>
      <c r="I153" s="83"/>
      <c r="J153" s="83"/>
      <c r="K153" s="84"/>
      <c r="L153" s="1"/>
      <c r="M153" s="85">
        <f>(H153)/H154</f>
        <v>0.23439999999999989</v>
      </c>
      <c r="N153" s="86"/>
    </row>
    <row r="154" spans="2:14" ht="16.5" thickBot="1" x14ac:dyDescent="0.35">
      <c r="B154" s="87" t="s">
        <v>59</v>
      </c>
      <c r="C154" s="88"/>
      <c r="D154" s="88"/>
      <c r="E154" s="88"/>
      <c r="F154" s="89"/>
      <c r="G154" s="1"/>
      <c r="H154" s="90">
        <f>H152+H153</f>
        <v>153689.14734458955</v>
      </c>
      <c r="I154" s="91"/>
      <c r="J154" s="91"/>
      <c r="K154" s="92"/>
      <c r="L154" s="1"/>
      <c r="M154" s="93">
        <f>M152+M153</f>
        <v>1</v>
      </c>
      <c r="N154" s="94"/>
    </row>
    <row r="155" spans="2:14" ht="15.75" thickBot="1" x14ac:dyDescent="0.3">
      <c r="B155" s="67" t="s">
        <v>129</v>
      </c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9"/>
    </row>
    <row r="156" spans="2:14" ht="15.75" x14ac:dyDescent="0.3">
      <c r="B156" s="70" t="s">
        <v>130</v>
      </c>
      <c r="C156" s="71"/>
      <c r="D156" s="72"/>
      <c r="E156" s="15"/>
      <c r="F156" s="73">
        <v>0</v>
      </c>
      <c r="G156" s="74"/>
      <c r="H156" s="35"/>
      <c r="I156" s="70" t="s">
        <v>131</v>
      </c>
      <c r="J156" s="71"/>
      <c r="K156" s="72"/>
      <c r="L156" s="16"/>
      <c r="M156" s="75">
        <v>6.4999999999999997E-3</v>
      </c>
      <c r="N156" s="76"/>
    </row>
    <row r="157" spans="2:14" ht="15.75" x14ac:dyDescent="0.3">
      <c r="B157" s="41" t="s">
        <v>132</v>
      </c>
      <c r="C157" s="42"/>
      <c r="D157" s="43"/>
      <c r="E157" s="15"/>
      <c r="F157" s="44">
        <v>0.03</v>
      </c>
      <c r="G157" s="77"/>
      <c r="H157" s="15"/>
      <c r="I157" s="41" t="s">
        <v>133</v>
      </c>
      <c r="J157" s="42"/>
      <c r="K157" s="43"/>
      <c r="L157" s="16"/>
      <c r="M157" s="49">
        <v>0.03</v>
      </c>
      <c r="N157" s="78"/>
    </row>
    <row r="158" spans="2:14" ht="15.75" x14ac:dyDescent="0.3">
      <c r="B158" s="41" t="s">
        <v>134</v>
      </c>
      <c r="C158" s="42"/>
      <c r="D158" s="43"/>
      <c r="E158" s="15"/>
      <c r="F158" s="44">
        <v>0</v>
      </c>
      <c r="G158" s="45"/>
      <c r="H158" s="15"/>
      <c r="I158" s="46" t="s">
        <v>143</v>
      </c>
      <c r="J158" s="42"/>
      <c r="K158" s="43"/>
      <c r="L158" s="16"/>
      <c r="M158" s="47">
        <f>F156+M156+F157+M157+F158</f>
        <v>6.6500000000000004E-2</v>
      </c>
      <c r="N158" s="48"/>
    </row>
    <row r="159" spans="2:14" ht="15.75" x14ac:dyDescent="0.3">
      <c r="B159" s="41" t="s">
        <v>137</v>
      </c>
      <c r="C159" s="42"/>
      <c r="D159" s="43"/>
      <c r="E159" s="15"/>
      <c r="F159" s="44">
        <v>0</v>
      </c>
      <c r="G159" s="45"/>
      <c r="H159" s="15"/>
      <c r="I159" s="41" t="s">
        <v>138</v>
      </c>
      <c r="J159" s="42"/>
      <c r="K159" s="43"/>
      <c r="L159" s="16"/>
      <c r="M159" s="49">
        <v>0.01</v>
      </c>
      <c r="N159" s="50"/>
    </row>
    <row r="160" spans="2:14" ht="15.75" x14ac:dyDescent="0.3">
      <c r="B160" s="41" t="s">
        <v>139</v>
      </c>
      <c r="C160" s="42"/>
      <c r="D160" s="43"/>
      <c r="E160" s="15"/>
      <c r="F160" s="63">
        <v>0.14000000000000001</v>
      </c>
      <c r="G160" s="64"/>
      <c r="H160" s="15"/>
      <c r="I160" s="41" t="s">
        <v>140</v>
      </c>
      <c r="J160" s="42"/>
      <c r="K160" s="43"/>
      <c r="L160" s="16"/>
      <c r="M160" s="49">
        <v>8.0000000000000004E-4</v>
      </c>
      <c r="N160" s="50"/>
    </row>
    <row r="161" spans="2:17" ht="15.75" x14ac:dyDescent="0.3">
      <c r="B161" s="41" t="s">
        <v>141</v>
      </c>
      <c r="C161" s="42"/>
      <c r="D161" s="43"/>
      <c r="E161" s="15"/>
      <c r="F161" s="44">
        <v>0.13250000000000001</v>
      </c>
      <c r="G161" s="45"/>
      <c r="H161" s="15"/>
      <c r="I161" s="41" t="s">
        <v>160</v>
      </c>
      <c r="J161" s="42"/>
      <c r="K161" s="43"/>
      <c r="L161" s="16"/>
      <c r="M161" s="65">
        <v>12</v>
      </c>
      <c r="N161" s="66"/>
    </row>
    <row r="162" spans="2:17" ht="16.5" thickBot="1" x14ac:dyDescent="0.35">
      <c r="B162" s="51" t="s">
        <v>142</v>
      </c>
      <c r="C162" s="52"/>
      <c r="D162" s="52"/>
      <c r="E162" s="34"/>
      <c r="F162" s="53">
        <f>ROUND((((1+F159+M159)*(1+F160)*(1+M160))/(1-(M158))-1),4)</f>
        <v>0.2344</v>
      </c>
      <c r="G162" s="54"/>
      <c r="H162" s="1"/>
      <c r="I162" s="55"/>
      <c r="J162" s="55"/>
      <c r="K162" s="55"/>
      <c r="L162" s="2"/>
      <c r="M162" s="56"/>
      <c r="N162" s="56"/>
    </row>
    <row r="163" spans="2:17" ht="15.75" x14ac:dyDescent="0.3">
      <c r="B163" s="28"/>
      <c r="C163" s="29"/>
      <c r="D163" s="29"/>
      <c r="E163" s="29"/>
      <c r="F163" s="29"/>
      <c r="G163" s="29"/>
      <c r="H163" s="29"/>
      <c r="I163" s="30"/>
      <c r="J163" s="1"/>
      <c r="K163" s="28"/>
      <c r="L163" s="29"/>
      <c r="M163" s="29"/>
      <c r="N163" s="30"/>
    </row>
    <row r="164" spans="2:17" x14ac:dyDescent="0.25">
      <c r="B164" s="57" t="s">
        <v>168</v>
      </c>
      <c r="C164" s="58"/>
      <c r="D164" s="58"/>
      <c r="E164" s="58"/>
      <c r="F164" s="58"/>
      <c r="G164" s="58"/>
      <c r="H164" s="58"/>
      <c r="I164" s="59"/>
      <c r="J164" s="12"/>
      <c r="K164" s="60">
        <f>H154</f>
        <v>153689.14734458955</v>
      </c>
      <c r="L164" s="61"/>
      <c r="M164" s="61"/>
      <c r="N164" s="62"/>
    </row>
    <row r="165" spans="2:17" ht="16.5" thickBot="1" x14ac:dyDescent="0.35">
      <c r="B165" s="31"/>
      <c r="C165" s="32"/>
      <c r="D165" s="32"/>
      <c r="E165" s="32"/>
      <c r="F165" s="32"/>
      <c r="G165" s="32"/>
      <c r="H165" s="32"/>
      <c r="I165" s="33"/>
      <c r="J165" s="1"/>
      <c r="K165" s="31"/>
      <c r="L165" s="32"/>
      <c r="M165" s="32"/>
      <c r="N165" s="33"/>
    </row>
    <row r="167" spans="2:17" x14ac:dyDescent="0.25">
      <c r="Q167" s="40"/>
    </row>
  </sheetData>
  <mergeCells count="465">
    <mergeCell ref="B9:K9"/>
    <mergeCell ref="M9:N9"/>
    <mergeCell ref="B10:K10"/>
    <mergeCell ref="M10:N10"/>
    <mergeCell ref="B11:K11"/>
    <mergeCell ref="M11:N11"/>
    <mergeCell ref="B2:N2"/>
    <mergeCell ref="B5:N5"/>
    <mergeCell ref="B6:N6"/>
    <mergeCell ref="B7:K7"/>
    <mergeCell ref="M7:N7"/>
    <mergeCell ref="B8:K8"/>
    <mergeCell ref="M8:N8"/>
    <mergeCell ref="B3:H3"/>
    <mergeCell ref="I3:M3"/>
    <mergeCell ref="B4:N4"/>
    <mergeCell ref="B15:D15"/>
    <mergeCell ref="F15:G15"/>
    <mergeCell ref="I15:K15"/>
    <mergeCell ref="M15:N15"/>
    <mergeCell ref="B16:D16"/>
    <mergeCell ref="F16:G16"/>
    <mergeCell ref="I16:K16"/>
    <mergeCell ref="M16:N16"/>
    <mergeCell ref="B12:N12"/>
    <mergeCell ref="B13:N13"/>
    <mergeCell ref="B14:D14"/>
    <mergeCell ref="F14:G14"/>
    <mergeCell ref="I14:K14"/>
    <mergeCell ref="M14:N14"/>
    <mergeCell ref="B19:N19"/>
    <mergeCell ref="B20:K20"/>
    <mergeCell ref="M20:N20"/>
    <mergeCell ref="B21:K21"/>
    <mergeCell ref="M21:N21"/>
    <mergeCell ref="B22:K22"/>
    <mergeCell ref="M22:N22"/>
    <mergeCell ref="B17:D17"/>
    <mergeCell ref="F17:G17"/>
    <mergeCell ref="I17:K17"/>
    <mergeCell ref="M17:N17"/>
    <mergeCell ref="B18:K18"/>
    <mergeCell ref="M18:N18"/>
    <mergeCell ref="B26:K26"/>
    <mergeCell ref="M26:N26"/>
    <mergeCell ref="B27:K27"/>
    <mergeCell ref="M27:N27"/>
    <mergeCell ref="B28:K28"/>
    <mergeCell ref="M28:N28"/>
    <mergeCell ref="B23:K23"/>
    <mergeCell ref="M23:N23"/>
    <mergeCell ref="B24:K24"/>
    <mergeCell ref="M24:N24"/>
    <mergeCell ref="B25:K25"/>
    <mergeCell ref="M25:N25"/>
    <mergeCell ref="B32:D32"/>
    <mergeCell ref="F32:G32"/>
    <mergeCell ref="I32:K32"/>
    <mergeCell ref="M32:N32"/>
    <mergeCell ref="B33:K33"/>
    <mergeCell ref="M33:N33"/>
    <mergeCell ref="B29:N29"/>
    <mergeCell ref="B30:D30"/>
    <mergeCell ref="F30:G30"/>
    <mergeCell ref="I30:K30"/>
    <mergeCell ref="M30:N30"/>
    <mergeCell ref="B31:D31"/>
    <mergeCell ref="F31:G31"/>
    <mergeCell ref="I31:K31"/>
    <mergeCell ref="M31:N31"/>
    <mergeCell ref="B38:K38"/>
    <mergeCell ref="M38:N38"/>
    <mergeCell ref="B39:K39"/>
    <mergeCell ref="M39:N39"/>
    <mergeCell ref="B40:N40"/>
    <mergeCell ref="B41:G41"/>
    <mergeCell ref="I41:K41"/>
    <mergeCell ref="B34:K34"/>
    <mergeCell ref="M34:N34"/>
    <mergeCell ref="B35:N35"/>
    <mergeCell ref="B36:K36"/>
    <mergeCell ref="M36:N36"/>
    <mergeCell ref="B37:K37"/>
    <mergeCell ref="M37:N37"/>
    <mergeCell ref="F44:G44"/>
    <mergeCell ref="I44:K44"/>
    <mergeCell ref="M44:N44"/>
    <mergeCell ref="B45:D45"/>
    <mergeCell ref="F45:G45"/>
    <mergeCell ref="I45:K45"/>
    <mergeCell ref="M45:N45"/>
    <mergeCell ref="B42:D42"/>
    <mergeCell ref="F42:G42"/>
    <mergeCell ref="I42:K42"/>
    <mergeCell ref="M42:N42"/>
    <mergeCell ref="B43:D43"/>
    <mergeCell ref="F43:G43"/>
    <mergeCell ref="I43:K43"/>
    <mergeCell ref="M43:N43"/>
    <mergeCell ref="I48:K48"/>
    <mergeCell ref="M48:N48"/>
    <mergeCell ref="B49:D49"/>
    <mergeCell ref="F49:G49"/>
    <mergeCell ref="I49:K49"/>
    <mergeCell ref="M49:N49"/>
    <mergeCell ref="B46:D46"/>
    <mergeCell ref="F46:G46"/>
    <mergeCell ref="I46:K46"/>
    <mergeCell ref="M46:N46"/>
    <mergeCell ref="B47:D47"/>
    <mergeCell ref="F47:G47"/>
    <mergeCell ref="I47:K47"/>
    <mergeCell ref="M47:N47"/>
    <mergeCell ref="B53:D53"/>
    <mergeCell ref="F53:G53"/>
    <mergeCell ref="M53:N53"/>
    <mergeCell ref="B54:D54"/>
    <mergeCell ref="F54:G54"/>
    <mergeCell ref="M54:N54"/>
    <mergeCell ref="I50:K50"/>
    <mergeCell ref="M50:N50"/>
    <mergeCell ref="B51:D51"/>
    <mergeCell ref="F51:G51"/>
    <mergeCell ref="M51:N51"/>
    <mergeCell ref="B52:D52"/>
    <mergeCell ref="F52:G52"/>
    <mergeCell ref="M52:N52"/>
    <mergeCell ref="B57:D57"/>
    <mergeCell ref="F57:G57"/>
    <mergeCell ref="I57:L57"/>
    <mergeCell ref="M57:N57"/>
    <mergeCell ref="B58:N58"/>
    <mergeCell ref="B59:G59"/>
    <mergeCell ref="I59:K59"/>
    <mergeCell ref="B55:D55"/>
    <mergeCell ref="F55:G55"/>
    <mergeCell ref="M55:N55"/>
    <mergeCell ref="B56:D56"/>
    <mergeCell ref="F56:G56"/>
    <mergeCell ref="M56:N56"/>
    <mergeCell ref="F62:G62"/>
    <mergeCell ref="I62:K62"/>
    <mergeCell ref="M62:N62"/>
    <mergeCell ref="B63:D63"/>
    <mergeCell ref="F63:G63"/>
    <mergeCell ref="I63:K63"/>
    <mergeCell ref="M63:N63"/>
    <mergeCell ref="B60:D60"/>
    <mergeCell ref="F60:G60"/>
    <mergeCell ref="I60:K60"/>
    <mergeCell ref="M60:N60"/>
    <mergeCell ref="B61:D61"/>
    <mergeCell ref="F61:G61"/>
    <mergeCell ref="I61:K61"/>
    <mergeCell ref="M61:N61"/>
    <mergeCell ref="I66:K66"/>
    <mergeCell ref="M66:N66"/>
    <mergeCell ref="B67:D67"/>
    <mergeCell ref="F67:G67"/>
    <mergeCell ref="I67:K67"/>
    <mergeCell ref="M67:N67"/>
    <mergeCell ref="B64:D64"/>
    <mergeCell ref="F64:G64"/>
    <mergeCell ref="I64:K64"/>
    <mergeCell ref="M64:N64"/>
    <mergeCell ref="B65:D65"/>
    <mergeCell ref="F65:G65"/>
    <mergeCell ref="I65:K65"/>
    <mergeCell ref="M65:N65"/>
    <mergeCell ref="B70:D70"/>
    <mergeCell ref="F70:G70"/>
    <mergeCell ref="I70:K70"/>
    <mergeCell ref="M70:N70"/>
    <mergeCell ref="B71:D71"/>
    <mergeCell ref="F71:G71"/>
    <mergeCell ref="I71:K71"/>
    <mergeCell ref="M71:N71"/>
    <mergeCell ref="I68:K68"/>
    <mergeCell ref="M68:N68"/>
    <mergeCell ref="B69:D69"/>
    <mergeCell ref="F69:G69"/>
    <mergeCell ref="I69:K69"/>
    <mergeCell ref="M69:N69"/>
    <mergeCell ref="B74:D74"/>
    <mergeCell ref="F74:G74"/>
    <mergeCell ref="I74:K74"/>
    <mergeCell ref="M74:N74"/>
    <mergeCell ref="B75:D75"/>
    <mergeCell ref="F75:G75"/>
    <mergeCell ref="I75:L75"/>
    <mergeCell ref="M75:N75"/>
    <mergeCell ref="B72:D72"/>
    <mergeCell ref="F72:G72"/>
    <mergeCell ref="I72:K72"/>
    <mergeCell ref="M72:N72"/>
    <mergeCell ref="B73:D73"/>
    <mergeCell ref="F73:G73"/>
    <mergeCell ref="I73:K73"/>
    <mergeCell ref="M73:N73"/>
    <mergeCell ref="B78:G78"/>
    <mergeCell ref="I78:K78"/>
    <mergeCell ref="M78:N78"/>
    <mergeCell ref="B79:G79"/>
    <mergeCell ref="I79:K79"/>
    <mergeCell ref="M79:N79"/>
    <mergeCell ref="B76:G76"/>
    <mergeCell ref="I76:K76"/>
    <mergeCell ref="M76:N76"/>
    <mergeCell ref="B77:G77"/>
    <mergeCell ref="I77:K77"/>
    <mergeCell ref="M77:N77"/>
    <mergeCell ref="B80:N80"/>
    <mergeCell ref="B81:D81"/>
    <mergeCell ref="F81:G81"/>
    <mergeCell ref="I81:K81"/>
    <mergeCell ref="M81:N81"/>
    <mergeCell ref="B82:D82"/>
    <mergeCell ref="F82:G82"/>
    <mergeCell ref="I82:K82"/>
    <mergeCell ref="M82:N82"/>
    <mergeCell ref="B85:D85"/>
    <mergeCell ref="F85:G85"/>
    <mergeCell ref="I85:K85"/>
    <mergeCell ref="M85:N85"/>
    <mergeCell ref="B86:D86"/>
    <mergeCell ref="F86:G86"/>
    <mergeCell ref="I86:K86"/>
    <mergeCell ref="M86:N86"/>
    <mergeCell ref="B83:D83"/>
    <mergeCell ref="F83:G83"/>
    <mergeCell ref="I83:K83"/>
    <mergeCell ref="M83:N83"/>
    <mergeCell ref="B84:D84"/>
    <mergeCell ref="F84:G84"/>
    <mergeCell ref="I84:K84"/>
    <mergeCell ref="M84:N84"/>
    <mergeCell ref="B89:D89"/>
    <mergeCell ref="F89:G89"/>
    <mergeCell ref="I89:K89"/>
    <mergeCell ref="M89:N89"/>
    <mergeCell ref="B90:D90"/>
    <mergeCell ref="F90:G90"/>
    <mergeCell ref="I90:K90"/>
    <mergeCell ref="M90:N90"/>
    <mergeCell ref="B87:D87"/>
    <mergeCell ref="F87:G87"/>
    <mergeCell ref="I87:K87"/>
    <mergeCell ref="M87:N87"/>
    <mergeCell ref="B88:D88"/>
    <mergeCell ref="F88:G88"/>
    <mergeCell ref="I88:K88"/>
    <mergeCell ref="M88:N88"/>
    <mergeCell ref="M91:N91"/>
    <mergeCell ref="B92:N92"/>
    <mergeCell ref="B93:H93"/>
    <mergeCell ref="J93:K93"/>
    <mergeCell ref="M93:N93"/>
    <mergeCell ref="B94:D94"/>
    <mergeCell ref="F94:H94"/>
    <mergeCell ref="J94:K94"/>
    <mergeCell ref="M94:N94"/>
    <mergeCell ref="B97:D97"/>
    <mergeCell ref="F97:H97"/>
    <mergeCell ref="J97:K97"/>
    <mergeCell ref="M97:N97"/>
    <mergeCell ref="B98:D98"/>
    <mergeCell ref="F98:H98"/>
    <mergeCell ref="J98:K98"/>
    <mergeCell ref="M98:N98"/>
    <mergeCell ref="B95:D95"/>
    <mergeCell ref="F95:H95"/>
    <mergeCell ref="J95:K95"/>
    <mergeCell ref="M95:N95"/>
    <mergeCell ref="B96:D96"/>
    <mergeCell ref="F96:H96"/>
    <mergeCell ref="J96:K96"/>
    <mergeCell ref="M96:N96"/>
    <mergeCell ref="B101:D101"/>
    <mergeCell ref="F101:H101"/>
    <mergeCell ref="J101:K101"/>
    <mergeCell ref="M101:N101"/>
    <mergeCell ref="H102:K102"/>
    <mergeCell ref="M102:N102"/>
    <mergeCell ref="B99:D99"/>
    <mergeCell ref="F99:H99"/>
    <mergeCell ref="J99:K99"/>
    <mergeCell ref="M99:N99"/>
    <mergeCell ref="B100:D100"/>
    <mergeCell ref="F100:H100"/>
    <mergeCell ref="J100:K100"/>
    <mergeCell ref="M100:N100"/>
    <mergeCell ref="H103:K103"/>
    <mergeCell ref="M103:N103"/>
    <mergeCell ref="B104:H104"/>
    <mergeCell ref="J104:K104"/>
    <mergeCell ref="M104:N104"/>
    <mergeCell ref="B105:D105"/>
    <mergeCell ref="F105:H105"/>
    <mergeCell ref="J105:K105"/>
    <mergeCell ref="M105:N105"/>
    <mergeCell ref="B108:D108"/>
    <mergeCell ref="F108:H108"/>
    <mergeCell ref="J108:K108"/>
    <mergeCell ref="M108:N108"/>
    <mergeCell ref="B109:D109"/>
    <mergeCell ref="F109:H109"/>
    <mergeCell ref="J109:K109"/>
    <mergeCell ref="M109:N109"/>
    <mergeCell ref="B106:D106"/>
    <mergeCell ref="F106:H106"/>
    <mergeCell ref="J106:K106"/>
    <mergeCell ref="M106:N106"/>
    <mergeCell ref="B107:D107"/>
    <mergeCell ref="F107:H107"/>
    <mergeCell ref="J107:K107"/>
    <mergeCell ref="M107:N107"/>
    <mergeCell ref="H112:K112"/>
    <mergeCell ref="M112:N112"/>
    <mergeCell ref="B113:K113"/>
    <mergeCell ref="M113:N113"/>
    <mergeCell ref="B114:N114"/>
    <mergeCell ref="B115:D115"/>
    <mergeCell ref="H115:L115"/>
    <mergeCell ref="M115:N115"/>
    <mergeCell ref="B110:D110"/>
    <mergeCell ref="F110:H110"/>
    <mergeCell ref="J110:K110"/>
    <mergeCell ref="M110:N110"/>
    <mergeCell ref="H111:K111"/>
    <mergeCell ref="M111:N111"/>
    <mergeCell ref="B118:D118"/>
    <mergeCell ref="E118:F118"/>
    <mergeCell ref="H118:I118"/>
    <mergeCell ref="M118:N118"/>
    <mergeCell ref="B119:D119"/>
    <mergeCell ref="E119:F119"/>
    <mergeCell ref="H119:I119"/>
    <mergeCell ref="M119:N119"/>
    <mergeCell ref="B116:D116"/>
    <mergeCell ref="E116:F116"/>
    <mergeCell ref="H116:I116"/>
    <mergeCell ref="M116:N116"/>
    <mergeCell ref="B117:D117"/>
    <mergeCell ref="E117:F117"/>
    <mergeCell ref="H117:I117"/>
    <mergeCell ref="M117:N117"/>
    <mergeCell ref="B122:D122"/>
    <mergeCell ref="E122:F122"/>
    <mergeCell ref="H122:I122"/>
    <mergeCell ref="M122:N122"/>
    <mergeCell ref="B123:D123"/>
    <mergeCell ref="E123:F123"/>
    <mergeCell ref="H123:I123"/>
    <mergeCell ref="M123:N123"/>
    <mergeCell ref="B120:D120"/>
    <mergeCell ref="E120:F120"/>
    <mergeCell ref="H120:I120"/>
    <mergeCell ref="M120:N120"/>
    <mergeCell ref="B121:D121"/>
    <mergeCell ref="E121:F121"/>
    <mergeCell ref="H121:I121"/>
    <mergeCell ref="M121:N121"/>
    <mergeCell ref="B127:D127"/>
    <mergeCell ref="G127:K127"/>
    <mergeCell ref="M127:N127"/>
    <mergeCell ref="B128:I128"/>
    <mergeCell ref="M128:N128"/>
    <mergeCell ref="B129:K129"/>
    <mergeCell ref="M129:N129"/>
    <mergeCell ref="B124:G124"/>
    <mergeCell ref="H124:K124"/>
    <mergeCell ref="M124:N124"/>
    <mergeCell ref="B125:K125"/>
    <mergeCell ref="M125:N125"/>
    <mergeCell ref="B126:N126"/>
    <mergeCell ref="B133:K133"/>
    <mergeCell ref="M133:N133"/>
    <mergeCell ref="B134:K134"/>
    <mergeCell ref="M134:N134"/>
    <mergeCell ref="B130:K130"/>
    <mergeCell ref="M130:N130"/>
    <mergeCell ref="B131:K131"/>
    <mergeCell ref="M131:N131"/>
    <mergeCell ref="B132:K132"/>
    <mergeCell ref="M132:N132"/>
    <mergeCell ref="B139:K139"/>
    <mergeCell ref="M139:N139"/>
    <mergeCell ref="I138:K138"/>
    <mergeCell ref="M138:N138"/>
    <mergeCell ref="B135:K135"/>
    <mergeCell ref="M135:N135"/>
    <mergeCell ref="B136:K136"/>
    <mergeCell ref="M136:N136"/>
    <mergeCell ref="B137:K137"/>
    <mergeCell ref="M137:N137"/>
    <mergeCell ref="M143:N143"/>
    <mergeCell ref="B144:N144"/>
    <mergeCell ref="B145:F145"/>
    <mergeCell ref="H145:K145"/>
    <mergeCell ref="M145:N145"/>
    <mergeCell ref="B146:F146"/>
    <mergeCell ref="H146:K146"/>
    <mergeCell ref="M146:N146"/>
    <mergeCell ref="B140:N140"/>
    <mergeCell ref="B141:F141"/>
    <mergeCell ref="H141:K141"/>
    <mergeCell ref="M141:N141"/>
    <mergeCell ref="B142:F142"/>
    <mergeCell ref="H142:K142"/>
    <mergeCell ref="M142:N142"/>
    <mergeCell ref="B149:F149"/>
    <mergeCell ref="H149:K149"/>
    <mergeCell ref="M149:N149"/>
    <mergeCell ref="B150:F150"/>
    <mergeCell ref="H150:K150"/>
    <mergeCell ref="M150:N150"/>
    <mergeCell ref="B147:F147"/>
    <mergeCell ref="H147:K147"/>
    <mergeCell ref="M147:N147"/>
    <mergeCell ref="B148:F148"/>
    <mergeCell ref="H148:K148"/>
    <mergeCell ref="M148:N148"/>
    <mergeCell ref="B153:D153"/>
    <mergeCell ref="H153:K153"/>
    <mergeCell ref="M153:N153"/>
    <mergeCell ref="B154:F154"/>
    <mergeCell ref="H154:K154"/>
    <mergeCell ref="M154:N154"/>
    <mergeCell ref="B151:F151"/>
    <mergeCell ref="H151:K151"/>
    <mergeCell ref="M151:N151"/>
    <mergeCell ref="B152:F152"/>
    <mergeCell ref="H152:K152"/>
    <mergeCell ref="M152:N152"/>
    <mergeCell ref="B155:N155"/>
    <mergeCell ref="B156:D156"/>
    <mergeCell ref="F156:G156"/>
    <mergeCell ref="I156:K156"/>
    <mergeCell ref="M156:N156"/>
    <mergeCell ref="B157:D157"/>
    <mergeCell ref="F157:G157"/>
    <mergeCell ref="I157:K157"/>
    <mergeCell ref="M157:N157"/>
    <mergeCell ref="B164:I164"/>
    <mergeCell ref="K164:N164"/>
    <mergeCell ref="B160:D160"/>
    <mergeCell ref="F160:G160"/>
    <mergeCell ref="I160:K160"/>
    <mergeCell ref="M160:N160"/>
    <mergeCell ref="B161:D161"/>
    <mergeCell ref="F161:G161"/>
    <mergeCell ref="I161:K161"/>
    <mergeCell ref="M161:N161"/>
    <mergeCell ref="B158:D158"/>
    <mergeCell ref="F158:G158"/>
    <mergeCell ref="I158:K158"/>
    <mergeCell ref="M158:N158"/>
    <mergeCell ref="B159:D159"/>
    <mergeCell ref="F159:G159"/>
    <mergeCell ref="I159:K159"/>
    <mergeCell ref="M159:N159"/>
    <mergeCell ref="B162:D162"/>
    <mergeCell ref="F162:G162"/>
    <mergeCell ref="I162:K162"/>
    <mergeCell ref="M162:N162"/>
  </mergeCells>
  <pageMargins left="0.511811024" right="0.511811024" top="0.78740157499999996" bottom="0.78740157499999996" header="0.31496062000000002" footer="0.31496062000000002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TRANSP.DEST.CLASSEII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2024-02-15T19:20:29Z</dcterms:modified>
</cp:coreProperties>
</file>