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Eliane\Desktop\AFinanceiro\Site\Planilhas\2026\"/>
    </mc:Choice>
  </mc:AlternateContent>
  <xr:revisionPtr revIDLastSave="0" documentId="8_{4799A0BF-5BCF-4D02-98AD-6306BD715D03}" xr6:coauthVersionLast="47" xr6:coauthVersionMax="47" xr10:uidLastSave="{00000000-0000-0000-0000-000000000000}"/>
  <bookViews>
    <workbookView xWindow="-110" yWindow="-110" windowWidth="19420" windowHeight="10420" tabRatio="750" xr2:uid="{00000000-000D-0000-FFFF-FFFF00000000}"/>
  </bookViews>
  <sheets>
    <sheet name="Guia_Uso" sheetId="1" r:id="rId1"/>
    <sheet name="Fontes_Premissas" sheetId="2" r:id="rId2"/>
    <sheet name="TaxTables" sheetId="3" r:id="rId3"/>
    <sheet name="Inputs" sheetId="4" r:id="rId4"/>
    <sheet name="Simples_Calc" sheetId="5" r:id="rId5"/>
    <sheet name="Presumido_Calc" sheetId="6" r:id="rId6"/>
    <sheet name="Real_Calc" sheetId="7" r:id="rId7"/>
    <sheet name="Reforma_Impacto" sheetId="8" r:id="rId8"/>
    <sheet name="Dashboard" sheetId="9" r:id="rId9"/>
    <sheet name="Sensibilidade" sheetId="10" r:id="rId10"/>
    <sheet name="Casos_Praticos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1" l="1"/>
  <c r="N6" i="11"/>
  <c r="L6" i="11"/>
  <c r="K6" i="11"/>
  <c r="O5" i="11"/>
  <c r="N5" i="11"/>
  <c r="L5" i="11"/>
  <c r="K5" i="11"/>
  <c r="O4" i="11"/>
  <c r="N4" i="11"/>
  <c r="L4" i="11"/>
  <c r="K4" i="11"/>
  <c r="I11" i="10"/>
  <c r="G11" i="10"/>
  <c r="F11" i="10"/>
  <c r="I10" i="10"/>
  <c r="G10" i="10"/>
  <c r="F10" i="10"/>
  <c r="I9" i="10"/>
  <c r="G9" i="10"/>
  <c r="F9" i="10"/>
  <c r="I8" i="10"/>
  <c r="G8" i="10"/>
  <c r="F8" i="10"/>
  <c r="I7" i="10"/>
  <c r="G7" i="10"/>
  <c r="F7" i="10"/>
  <c r="I6" i="10"/>
  <c r="G6" i="10"/>
  <c r="F6" i="10"/>
  <c r="I5" i="10"/>
  <c r="G5" i="10"/>
  <c r="F5" i="10"/>
  <c r="F4" i="9"/>
  <c r="D4" i="9"/>
  <c r="B4" i="9"/>
  <c r="B10" i="8"/>
  <c r="B9" i="8"/>
  <c r="B8" i="8"/>
  <c r="B7" i="8"/>
  <c r="B6" i="8"/>
  <c r="B15" i="8" s="1"/>
  <c r="B5" i="8"/>
  <c r="B25" i="8" s="1"/>
  <c r="B4" i="8"/>
  <c r="B6" i="7"/>
  <c r="B4" i="7"/>
  <c r="B5" i="6"/>
  <c r="B6" i="6" s="1"/>
  <c r="B4" i="6"/>
  <c r="B6" i="5"/>
  <c r="B4" i="5"/>
  <c r="B26" i="4"/>
  <c r="B8" i="4"/>
  <c r="K9" i="10" l="1"/>
  <c r="J9" i="10"/>
  <c r="E9" i="10"/>
  <c r="H9" i="10" s="1"/>
  <c r="Q6" i="11"/>
  <c r="P6" i="11"/>
  <c r="J6" i="11" s="1"/>
  <c r="M6" i="11" s="1"/>
  <c r="P5" i="11"/>
  <c r="Q5" i="11"/>
  <c r="Q4" i="11"/>
  <c r="P4" i="11"/>
  <c r="J4" i="11" s="1"/>
  <c r="M4" i="11" s="1"/>
  <c r="J11" i="10"/>
  <c r="K11" i="10"/>
  <c r="J10" i="10"/>
  <c r="K10" i="10"/>
  <c r="K8" i="10"/>
  <c r="J8" i="10"/>
  <c r="E8" i="10" s="1"/>
  <c r="H8" i="10" s="1"/>
  <c r="K7" i="10"/>
  <c r="J7" i="10"/>
  <c r="J6" i="10"/>
  <c r="K6" i="10"/>
  <c r="J5" i="10"/>
  <c r="K5" i="10"/>
  <c r="B22" i="8"/>
  <c r="E15" i="9" s="1"/>
  <c r="B14" i="8"/>
  <c r="B16" i="8" s="1"/>
  <c r="B17" i="8" s="1"/>
  <c r="B16" i="9" s="1"/>
  <c r="B5" i="7"/>
  <c r="B10" i="7" s="1"/>
  <c r="B7" i="7"/>
  <c r="B12" i="7"/>
  <c r="B9" i="7"/>
  <c r="B8" i="7"/>
  <c r="B14" i="6"/>
  <c r="B7" i="6"/>
  <c r="B12" i="6"/>
  <c r="B8" i="6"/>
  <c r="B11" i="6" s="1"/>
  <c r="B13" i="6"/>
  <c r="B13" i="5"/>
  <c r="B24" i="4"/>
  <c r="B10" i="4"/>
  <c r="B5" i="5"/>
  <c r="E7" i="10" l="1"/>
  <c r="H7" i="10" s="1"/>
  <c r="B11" i="7"/>
  <c r="B13" i="7"/>
  <c r="B14" i="7"/>
  <c r="B15" i="7"/>
  <c r="B9" i="6"/>
  <c r="B10" i="6"/>
  <c r="B25" i="4"/>
  <c r="H4" i="9"/>
  <c r="B7" i="5"/>
  <c r="B17" i="5" s="1"/>
  <c r="B8" i="5"/>
  <c r="B16" i="5"/>
  <c r="J5" i="11"/>
  <c r="M5" i="11" s="1"/>
  <c r="E11" i="10"/>
  <c r="H11" i="10" s="1"/>
  <c r="E10" i="10"/>
  <c r="H10" i="10" s="1"/>
  <c r="E6" i="10"/>
  <c r="H6" i="10" s="1"/>
  <c r="E5" i="10"/>
  <c r="H5" i="10" s="1"/>
  <c r="B10" i="5" l="1"/>
  <c r="B9" i="5"/>
  <c r="B16" i="7"/>
  <c r="B15" i="6"/>
  <c r="B11" i="5" l="1"/>
  <c r="B12" i="5" s="1"/>
  <c r="B14" i="5" s="1"/>
  <c r="B15" i="5" s="1"/>
  <c r="C9" i="9" s="1"/>
  <c r="H24" i="9" s="1"/>
  <c r="B17" i="7"/>
  <c r="C11" i="9" s="1"/>
  <c r="H26" i="9" s="1"/>
  <c r="B11" i="9"/>
  <c r="B10" i="9"/>
  <c r="B16" i="6"/>
  <c r="C10" i="9" s="1"/>
  <c r="H25" i="9" s="1"/>
  <c r="B21" i="8" l="1"/>
  <c r="B23" i="8" s="1"/>
  <c r="B24" i="8" s="1"/>
  <c r="E16" i="9" s="1"/>
  <c r="B9" i="9"/>
  <c r="D11" i="9" s="1"/>
  <c r="E11" i="9" s="1"/>
  <c r="H21" i="9"/>
  <c r="H20" i="9"/>
  <c r="D10" i="9" l="1"/>
  <c r="E10" i="9" s="1"/>
  <c r="D9" i="9"/>
  <c r="E9" i="9" s="1"/>
  <c r="B15" i="9"/>
  <c r="H1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9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Tabelas do Simples Nacional: https://www.planalto.gov.br/ccivil_03/leis/lcp/lcp123.htm</t>
        </r>
      </text>
    </comment>
    <comment ref="B13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No Anexo IV a CPP patronal é simulada à parte: https://www.gov.br/receitafederal/pt-br/assuntos/orientacao-tributaria/cobrancas-e-intimacoes/contribuicao-previdenciaria-anexo-iv-do-simples-nacional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7" authorId="0" shapeId="0" xr:uid="{00000000-0006-0000-0500-000001000000}">
      <text>
        <r>
          <rPr>
            <sz val="11"/>
            <color theme="1"/>
            <rFont val="Calibri"/>
            <family val="2"/>
            <scheme val="minor"/>
          </rPr>
          <t>Bases presumidas usuais. Validar atividade e receitas específicas.</t>
        </r>
      </text>
    </comment>
  </commentList>
</comments>
</file>

<file path=xl/sharedStrings.xml><?xml version="1.0" encoding="utf-8"?>
<sst xmlns="http://schemas.openxmlformats.org/spreadsheetml/2006/main" count="359" uniqueCount="220">
  <si>
    <t>Como usar</t>
  </si>
  <si>
    <t>1) Edite apenas as células amarelas na aba Inputs.</t>
  </si>
  <si>
    <t>2) A aba Dashboard resume a comparação entre Simples, Lucro Presumido e Lucro Real.</t>
  </si>
  <si>
    <t>3) A aba Reforma_Impacto traz um cenário didático para IBS/CBS e um indicador de gap competitivo no B2B.</t>
  </si>
  <si>
    <t>4) A aba Sensibilidade mostra como a decisão muda quando receita, folha e insumos variam.</t>
  </si>
  <si>
    <t>5) A aba Casos_Praticos contém três exemplos preenchidos para aula.</t>
  </si>
  <si>
    <t>6) Modelo simplificado para ensino; validar enquadramento, CNAE, benefícios e exceções antes de decidir.</t>
  </si>
  <si>
    <t>Legenda de cores</t>
  </si>
  <si>
    <t>Entrada do usuário (editável)</t>
  </si>
  <si>
    <t>amarelo / texto azul</t>
  </si>
  <si>
    <t>Editar</t>
  </si>
  <si>
    <t>Fórmulas e cálculos</t>
  </si>
  <si>
    <t>texto preto</t>
  </si>
  <si>
    <t>Fórmula</t>
  </si>
  <si>
    <t>Ligação entre abas</t>
  </si>
  <si>
    <t>texto verde</t>
  </si>
  <si>
    <t>Link</t>
  </si>
  <si>
    <t>Premissas legais / parâmetros</t>
  </si>
  <si>
    <t>cinza</t>
  </si>
  <si>
    <t>Parâmetro</t>
  </si>
  <si>
    <t>Avisos importantes</t>
  </si>
  <si>
    <t>• Simples Nacional: cálculo pela alíquota efetiva do Anexo informado; se Anexo IV, a CPP patronal é simulada à parte.</t>
  </si>
  <si>
    <t>• Lucro Presumido: bases de presunção usuais (8%/12% comércio-indústria; 32%/32% serviços) e PIS/Cofins cumulativos.</t>
  </si>
  <si>
    <t>• Lucro Real: modelo didático com PIS/Cofins não cumulativos sobre insumos creditáveis informados pelo usuário.</t>
  </si>
  <si>
    <t>• Reforma: a alíquota IBS+CBS madura é um input de cenário; não substitui alíquota oficial de referência.</t>
  </si>
  <si>
    <t>Fontes, premissas legais e parâmetros do modelo</t>
  </si>
  <si>
    <t>Premissas numéricas</t>
  </si>
  <si>
    <t>Valor</t>
  </si>
  <si>
    <t>Formato</t>
  </si>
  <si>
    <t>Fonte (URL)</t>
  </si>
  <si>
    <t>Observação</t>
  </si>
  <si>
    <t>Limite Simples Nacional (R$)</t>
  </si>
  <si>
    <t>Moeda</t>
  </si>
  <si>
    <t>https://www.planalto.gov.br/ccivil_03/leis/lcp/lcp123.htm</t>
  </si>
  <si>
    <t>Base legal do limite</t>
  </si>
  <si>
    <t>PIS cumulativo</t>
  </si>
  <si>
    <t>Percentual</t>
  </si>
  <si>
    <t>https://www.gov.br/receitafederal/pt-br/assuntos/orientacao-tributaria</t>
  </si>
  <si>
    <t>Premissa editável</t>
  </si>
  <si>
    <t>COFINS cumulativo</t>
  </si>
  <si>
    <t>PIS não cumulativo</t>
  </si>
  <si>
    <t>COFINS não cumulativo</t>
  </si>
  <si>
    <t>IRPJ</t>
  </si>
  <si>
    <t>Adicional IRPJ</t>
  </si>
  <si>
    <t>Limite anual adicional IRPJ (R$)</t>
  </si>
  <si>
    <t>R$ 20 mil/mês</t>
  </si>
  <si>
    <t>CSLL</t>
  </si>
  <si>
    <t>CPP patronal simulada Anexo IV</t>
  </si>
  <si>
    <t>https://www.gov.br/receitafederal/pt-br/assuntos/orientacao-tributaria/cobrancas-e-intimacoes/contribuicao-previdenciaria-anexo-iv-do-simples-nacional</t>
  </si>
  <si>
    <t>Fora do DAS</t>
  </si>
  <si>
    <t>Presunção IRPJ comércio/indústria</t>
  </si>
  <si>
    <t>https://www.gov.br/receitafederal/pt-br/centrais-de-conteudo/publicacoes/perguntas-e-respostas/ecf/2024-perguntas-e-respostas-da-pessoa-juridica.pdf</t>
  </si>
  <si>
    <t>Presunção CSLL comércio/indústria</t>
  </si>
  <si>
    <t>Presunção IRPJ serviços</t>
  </si>
  <si>
    <t>Presunção CSLL serviços</t>
  </si>
  <si>
    <t>CBS teste 2026</t>
  </si>
  <si>
    <t>https://www.gov.br/receitafederal/pt-br/acesso-a-informacao/acoes-e-programas/programas-e-atividades/reforma-consumo/entenda</t>
  </si>
  <si>
    <t>Transição 2026</t>
  </si>
  <si>
    <t>IBS teste 2026</t>
  </si>
  <si>
    <t>Reforma tributária: notas resumidas</t>
  </si>
  <si>
    <t>EC 132/2023 alterou o sistema tributário nacional e abriu a transição para IBS, CBS e Imposto Seletivo.</t>
  </si>
  <si>
    <t>LC 214/2025 regulamenta a Lei Geral do IBS, da CBS e do Imposto Seletivo.</t>
  </si>
  <si>
    <t>2026 é ano teste: CBS 0,9% e IBS 0,1%, com compensação conforme a regra de transição.</t>
  </si>
  <si>
    <t>2029 a 2032: transição progressiva de ICMS/ISS para IBS.</t>
  </si>
  <si>
    <t>2033: vigência integral do novo modelo.</t>
  </si>
  <si>
    <t>Comentários metodológicos</t>
  </si>
  <si>
    <t>Modelo didático para comparação e apoio gerencial; não substitui parecer, auditoria ou parametrização fiscal oficial.</t>
  </si>
  <si>
    <t>Nos regimes Presumido e Real, ISS/ICMS/IPI é informado pelo usuário como taxa efetiva de venda para acomodar diferenças setoriais.</t>
  </si>
  <si>
    <t>No cenário IBS/CBS maduro, a planilha usa alíquota combinada estimada informada pelo usuário.</t>
  </si>
  <si>
    <t>Tabelas de apoio | Simples Nacional</t>
  </si>
  <si>
    <t>Anexo</t>
  </si>
  <si>
    <t>Faixa</t>
  </si>
  <si>
    <t>Limite superior</t>
  </si>
  <si>
    <t>Alíquota nominal</t>
  </si>
  <si>
    <t>Parcela a deduzir</t>
  </si>
  <si>
    <t>Fonte</t>
  </si>
  <si>
    <t>I</t>
  </si>
  <si>
    <t>II</t>
  </si>
  <si>
    <t>III</t>
  </si>
  <si>
    <t>IV</t>
  </si>
  <si>
    <t>V</t>
  </si>
  <si>
    <t>Inputs do modelo | editar apenas as células amarelas</t>
  </si>
  <si>
    <t>Dados da empresa / cenário</t>
  </si>
  <si>
    <t>Empresa / cenário</t>
  </si>
  <si>
    <t>Empresa exemplo B2B</t>
  </si>
  <si>
    <t>Setor</t>
  </si>
  <si>
    <t>Serviços</t>
  </si>
  <si>
    <t>Receita bruta anual (R$)</t>
  </si>
  <si>
    <t>Participação B2B na receita</t>
  </si>
  <si>
    <t>RBT12 usada no Simples (R$)</t>
  </si>
  <si>
    <t>Folha anual (R$)</t>
  </si>
  <si>
    <t>Fator R</t>
  </si>
  <si>
    <t>Anexo Simples adotado na simulação</t>
  </si>
  <si>
    <t>Custos/insumos creditáveis (% da receita)</t>
  </si>
  <si>
    <t>Despesas operacionais não folha (% da receita)</t>
  </si>
  <si>
    <t>ISS efetivo sobre vendas</t>
  </si>
  <si>
    <t>ICMS/IPI efetivo sobre vendas</t>
  </si>
  <si>
    <t>% recuperação de crédito PIS/Cofins sobre insumos</t>
  </si>
  <si>
    <t>% recuperação de crédito IBS/CBS sobre insumos</t>
  </si>
  <si>
    <t>Alíquota IBS + CBS estimada (cenário maduro)</t>
  </si>
  <si>
    <t>Crédito transferível ao cliente na compra do optante SN</t>
  </si>
  <si>
    <t>Ano / marco da reforma</t>
  </si>
  <si>
    <t>Checks automáticos</t>
  </si>
  <si>
    <t>Status limite Simples</t>
  </si>
  <si>
    <t>Leitura do Fator R</t>
  </si>
  <si>
    <t>Observação de regime</t>
  </si>
  <si>
    <t>Simples Nacional | cálculo didático da alíquota efetiva</t>
  </si>
  <si>
    <t>Receita bruta anual</t>
  </si>
  <si>
    <t>RBT12</t>
  </si>
  <si>
    <t>Anexo selecionado</t>
  </si>
  <si>
    <t>Faixa identificada</t>
  </si>
  <si>
    <t>Alíquota efetiva do DAS</t>
  </si>
  <si>
    <t>DAS anual estimado</t>
  </si>
  <si>
    <t>CPP patronal extra (Anexo IV)</t>
  </si>
  <si>
    <t>Carga total anual do regime</t>
  </si>
  <si>
    <t>Alíquota efetiva total</t>
  </si>
  <si>
    <t>Status</t>
  </si>
  <si>
    <t>Leitura gerencial</t>
  </si>
  <si>
    <t>• Use esta aba para discutir alíquota efetiva, não apenas nominal.</t>
  </si>
  <si>
    <t>• No Anexo IV, o custo previdenciário fora do DAS altera a comparação.</t>
  </si>
  <si>
    <t>• Para serviços sujeitos ao fator R, a relação folha/receita muda a decisão.</t>
  </si>
  <si>
    <t>Lucro Presumido | cálculo simplificado</t>
  </si>
  <si>
    <t>Tributo local efetivo sobre vendas</t>
  </si>
  <si>
    <t>Base presumida IRPJ</t>
  </si>
  <si>
    <t>Base presumida CSLL</t>
  </si>
  <si>
    <t>PIS</t>
  </si>
  <si>
    <t>COFINS</t>
  </si>
  <si>
    <t>ISS / ICMS / IPI</t>
  </si>
  <si>
    <t>• O Lucro Presumido tende a ganhar relevância quando a margem real supera a presunção.</t>
  </si>
  <si>
    <t>• Em serviços, a base presumida de 32% eleva IRPJ/CSLL.</t>
  </si>
  <si>
    <t>• Compare simplicidade operacional x potencial de crédito no pós-reforma.</t>
  </si>
  <si>
    <t>Lucro Real | cálculo didático com crédito de PIS/Cofins</t>
  </si>
  <si>
    <t>Custos/insumos creditáveis (R$)</t>
  </si>
  <si>
    <t>Despesas operacionais não folha (R$)</t>
  </si>
  <si>
    <t>Lucro antes de IRPJ/CSLL</t>
  </si>
  <si>
    <t>Débito PIS/Cofins</t>
  </si>
  <si>
    <t>Crédito PIS/Cofins</t>
  </si>
  <si>
    <t>PIS/Cofins líquido</t>
  </si>
  <si>
    <t>• O Real responde melhor quando há margem comprimida e/ou muitos créditos recuperáveis.</t>
  </si>
  <si>
    <t>• O modelo é deliberadamente simples para sala de aula; adicionar ajustes e regimes especiais quando necessário.</t>
  </si>
  <si>
    <t>• Em empresas B2B, o tema crédito tende a ganhar peso com IBS/CBS.</t>
  </si>
  <si>
    <t>Reforma Tributária | cenário didático IBS/CBS e efeito competitivo</t>
  </si>
  <si>
    <t>Inputs trazidos do modelo</t>
  </si>
  <si>
    <t>Participação B2B</t>
  </si>
  <si>
    <t>Alíquota IBS + CBS estimada</t>
  </si>
  <si>
    <t>% recuperação do crédito IBS/CBS</t>
  </si>
  <si>
    <t>Crédito transferível ao cliente do optante SN</t>
  </si>
  <si>
    <t>Ano / marco</t>
  </si>
  <si>
    <t>Regime com crédito amplo (cenário maduro IBS/CBS)</t>
  </si>
  <si>
    <t>Débito IBS/CBS</t>
  </si>
  <si>
    <t>Crédito IBS/CBS recuperável</t>
  </si>
  <si>
    <t>Carga líquida estimada</t>
  </si>
  <si>
    <t>Alíquota efetiva líquida</t>
  </si>
  <si>
    <t>Optante do Simples Nacional | indicador comercial conservador</t>
  </si>
  <si>
    <t>Carga atual do Simples</t>
  </si>
  <si>
    <t>Gap potencial de crédito no B2B</t>
  </si>
  <si>
    <t>Ônus econômico ampliado (didático)</t>
  </si>
  <si>
    <t>Alíquota econômica ampliada</t>
  </si>
  <si>
    <t>Nota</t>
  </si>
  <si>
    <t>Transição legal resumida</t>
  </si>
  <si>
    <t>2026: CBS 0,9% + IBS 0,1% como teste, com compensação no período de liquidação.</t>
  </si>
  <si>
    <t>2029-2032: transição progressiva de ICMS/ISS para IBS.</t>
  </si>
  <si>
    <t>Dashboard executivo | comparação atual e leitura pós-reforma</t>
  </si>
  <si>
    <t>Resumo base</t>
  </si>
  <si>
    <t>Receita bruta</t>
  </si>
  <si>
    <t>Comparação dos regimes (carga anual atual)</t>
  </si>
  <si>
    <t>Regime</t>
  </si>
  <si>
    <t>Carga anual (R$)</t>
  </si>
  <si>
    <t>Alíquota efetiva</t>
  </si>
  <si>
    <t>Ranking</t>
  </si>
  <si>
    <t>Leitura rápida</t>
  </si>
  <si>
    <t>Simples</t>
  </si>
  <si>
    <t>Presumido</t>
  </si>
  <si>
    <t>Real</t>
  </si>
  <si>
    <t>Síntese executiva</t>
  </si>
  <si>
    <t>Regime com menor carga atual</t>
  </si>
  <si>
    <t>Leitura pós-reforma</t>
  </si>
  <si>
    <t>Indicador IBS/CBS com crédito</t>
  </si>
  <si>
    <t>Indicador econômico do SN no B2B</t>
  </si>
  <si>
    <t>Item</t>
  </si>
  <si>
    <t>Alíquota efetiva (%)</t>
  </si>
  <si>
    <t>Sensibilidade | cenários rápidos para discussão em aula</t>
  </si>
  <si>
    <t>Multiplicadores de cenário</t>
  </si>
  <si>
    <t>Cenário</t>
  </si>
  <si>
    <t>Receita x</t>
  </si>
  <si>
    <t>Folha x</t>
  </si>
  <si>
    <t>Insumos credáveis x</t>
  </si>
  <si>
    <t>Simples (R$)</t>
  </si>
  <si>
    <t>Presumido (R$)</t>
  </si>
  <si>
    <t>Real (R$)</t>
  </si>
  <si>
    <t>Melhor regime</t>
  </si>
  <si>
    <t>Base</t>
  </si>
  <si>
    <t>Receita -20%</t>
  </si>
  <si>
    <t>Receita +20%</t>
  </si>
  <si>
    <t>Folha -20%</t>
  </si>
  <si>
    <t>Folha +20%</t>
  </si>
  <si>
    <t>Insumos +20%</t>
  </si>
  <si>
    <t>Insumos -20%</t>
  </si>
  <si>
    <t>Leitura sugerida</t>
  </si>
  <si>
    <t>• Receita altera fortemente a alíquota efetiva do Simples por mudança de faixa.</t>
  </si>
  <si>
    <t>• Folha afeta o custo do Simples quando a simulação usa Anexo IV e pode influenciar o fator R na discussão de serviços.</t>
  </si>
  <si>
    <t>• Insumos creditáveis reforçam a lógica do Lucro Real e, no pós-reforma, da não cumulatividade ampla.</t>
  </si>
  <si>
    <t>Casos práticos prontos para aula</t>
  </si>
  <si>
    <t>Caso</t>
  </si>
  <si>
    <t>Receita (R$)</t>
  </si>
  <si>
    <t>B2B %</t>
  </si>
  <si>
    <t>Folha (R$)</t>
  </si>
  <si>
    <t>Insumos cred. %</t>
  </si>
  <si>
    <t>Opex %</t>
  </si>
  <si>
    <t>Tributo local %</t>
  </si>
  <si>
    <t>Anexo SN</t>
  </si>
  <si>
    <t>Serviço B2B intensivo em folha</t>
  </si>
  <si>
    <t>Comércio B2C margem média</t>
  </si>
  <si>
    <t>Comércio</t>
  </si>
  <si>
    <t>Serviço técnico baixa folha</t>
  </si>
  <si>
    <t>Sugestões de uso em aula</t>
  </si>
  <si>
    <t>• Caso 1: debate Simples x Real em serviços B2B com alta folha.</t>
  </si>
  <si>
    <t>• Caso 2: comércio próximo do teto do Simples, com foco em margem e simplicidade.</t>
  </si>
  <si>
    <t>• Caso 3: serviço técnico B2B de baixa folha para explorar Anexo V e risco competitivo.</t>
  </si>
  <si>
    <t>Simulação Tributária MPEs + Reforma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</si>
</sst>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,##0_);[Red]\(\R\$\ #,##0\)"/>
    <numFmt numFmtId="165" formatCode="0.0%"/>
    <numFmt numFmtId="166" formatCode="0.0"/>
  </numFmts>
  <fonts count="9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2"/>
      <color rgb="FF1F4E78"/>
      <name val="Calibri"/>
      <family val="2"/>
    </font>
    <font>
      <b/>
      <sz val="11"/>
      <color rgb="FFFFFFFF"/>
      <name val="Calibri"/>
      <family val="2"/>
    </font>
    <font>
      <sz val="11"/>
      <color rgb="FF0000FF"/>
      <name val="Calibri"/>
      <family val="2"/>
    </font>
    <font>
      <sz val="11"/>
      <color rgb="FF000000"/>
      <name val="Calibri"/>
      <family val="2"/>
    </font>
    <font>
      <sz val="11"/>
      <color rgb="FF008000"/>
      <name val="Calibri"/>
      <family val="2"/>
    </font>
    <font>
      <sz val="11"/>
      <color rgb="FF666666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FF2CC"/>
      </patternFill>
    </fill>
    <fill>
      <patternFill patternType="solid">
        <fgColor rgb="FFF3F3F3"/>
      </patternFill>
    </fill>
  </fills>
  <borders count="4">
    <border>
      <left/>
      <right/>
      <top/>
      <bottom/>
      <diagonal/>
    </border>
    <border>
      <left/>
      <right/>
      <top style="medium">
        <color rgb="FF1F4E78"/>
      </top>
      <bottom/>
      <diagonal/>
    </border>
    <border>
      <left/>
      <right/>
      <top/>
      <bottom style="thin">
        <color rgb="FFD0D0D0"/>
      </bottom>
      <diagonal/>
    </border>
    <border>
      <left/>
      <right/>
      <top style="medium">
        <color rgb="FF1F4E78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wrapText="1"/>
    </xf>
    <xf numFmtId="0" fontId="4" fillId="3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left"/>
    </xf>
    <xf numFmtId="164" fontId="7" fillId="4" borderId="2" xfId="0" applyNumberFormat="1" applyFont="1" applyFill="1" applyBorder="1" applyAlignment="1">
      <alignment vertical="center"/>
    </xf>
    <xf numFmtId="165" fontId="7" fillId="4" borderId="2" xfId="0" applyNumberFormat="1" applyFont="1" applyFill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64" fontId="4" fillId="3" borderId="2" xfId="0" applyNumberFormat="1" applyFont="1" applyFill="1" applyBorder="1" applyAlignment="1">
      <alignment vertical="center"/>
    </xf>
    <xf numFmtId="165" fontId="4" fillId="3" borderId="2" xfId="0" applyNumberFormat="1" applyFont="1" applyFill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wrapText="1"/>
    </xf>
    <xf numFmtId="164" fontId="6" fillId="0" borderId="2" xfId="0" applyNumberFormat="1" applyFont="1" applyBorder="1" applyAlignment="1">
      <alignment wrapText="1"/>
    </xf>
    <xf numFmtId="0" fontId="6" fillId="0" borderId="2" xfId="0" applyFont="1" applyBorder="1" applyAlignment="1">
      <alignment wrapText="1"/>
    </xf>
    <xf numFmtId="165" fontId="6" fillId="0" borderId="2" xfId="0" applyNumberFormat="1" applyFont="1" applyBorder="1" applyAlignment="1">
      <alignment wrapText="1"/>
    </xf>
    <xf numFmtId="38" fontId="5" fillId="0" borderId="2" xfId="0" applyNumberFormat="1" applyFont="1" applyBorder="1" applyAlignment="1">
      <alignment wrapText="1"/>
    </xf>
    <xf numFmtId="165" fontId="5" fillId="0" borderId="2" xfId="0" applyNumberFormat="1" applyFont="1" applyBorder="1" applyAlignment="1">
      <alignment wrapText="1"/>
    </xf>
    <xf numFmtId="164" fontId="5" fillId="0" borderId="2" xfId="0" applyNumberFormat="1" applyFont="1" applyBorder="1" applyAlignment="1">
      <alignment wrapText="1"/>
    </xf>
    <xf numFmtId="164" fontId="6" fillId="0" borderId="2" xfId="0" applyNumberFormat="1" applyFont="1" applyBorder="1" applyAlignment="1">
      <alignment vertical="center"/>
    </xf>
    <xf numFmtId="165" fontId="6" fillId="0" borderId="2" xfId="0" applyNumberFormat="1" applyFont="1" applyBorder="1" applyAlignment="1">
      <alignment vertical="center"/>
    </xf>
    <xf numFmtId="38" fontId="5" fillId="0" borderId="2" xfId="0" applyNumberFormat="1" applyFont="1" applyBorder="1" applyAlignment="1">
      <alignment vertical="center"/>
    </xf>
    <xf numFmtId="166" fontId="5" fillId="0" borderId="2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left"/>
    </xf>
    <xf numFmtId="0" fontId="0" fillId="0" borderId="3" xfId="0" applyBorder="1"/>
    <xf numFmtId="0" fontId="1" fillId="2" borderId="0" xfId="0" applyFont="1" applyFill="1" applyAlignment="1">
      <alignment horizontal="left" vertical="center"/>
    </xf>
    <xf numFmtId="0" fontId="0" fillId="0" borderId="0" xfId="0"/>
  </cellXfs>
  <cellStyles count="1">
    <cellStyle name="Normal" xfId="0" builtinId="0"/>
  </cellStyles>
  <dxfs count="2">
    <dxf>
      <fill>
        <patternFill>
          <bgColor rgb="FFFCE5CD"/>
        </patternFill>
      </fill>
    </dxf>
    <dxf>
      <fill>
        <patternFill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r>
              <a:rPr lang="pt-BR"/>
              <a:t>Carga anual por regime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Dashboard!$H$18</c:f>
              <c:strCache>
                <c:ptCount val="1"/>
                <c:pt idx="0">
                  <c:v>Valor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Dashboard!$G$19:$G$21</c:f>
              <c:strCache>
                <c:ptCount val="3"/>
                <c:pt idx="0">
                  <c:v>Simples</c:v>
                </c:pt>
                <c:pt idx="1">
                  <c:v>Presumido</c:v>
                </c:pt>
                <c:pt idx="2">
                  <c:v>Real</c:v>
                </c:pt>
              </c:strCache>
            </c:strRef>
          </c:cat>
          <c:val>
            <c:numRef>
              <c:f>Dashboard!$H$19:$H$21</c:f>
              <c:numCache>
                <c:formatCode>\R\$\ #,##0_);[Red]\(\R\$\ #,##0\)</c:formatCode>
                <c:ptCount val="3"/>
                <c:pt idx="0">
                  <c:v>107100</c:v>
                </c:pt>
                <c:pt idx="1">
                  <c:v>107580</c:v>
                </c:pt>
                <c:pt idx="2">
                  <c:v>160710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6-4AB5-8767-6150E349D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numFmt formatCode="\R\$\ #,##0_);[Red]\(\R\$\ #,##0\)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r>
              <a:rPr lang="pt-BR"/>
              <a:t>Alíquota efetiva atual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Dashboard!$H$23</c:f>
              <c:strCache>
                <c:ptCount val="1"/>
                <c:pt idx="0">
                  <c:v>Alíquota efetiva (%)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Dashboard!$G$24:$G$26</c:f>
              <c:strCache>
                <c:ptCount val="3"/>
                <c:pt idx="0">
                  <c:v>Simples</c:v>
                </c:pt>
                <c:pt idx="1">
                  <c:v>Presumido</c:v>
                </c:pt>
                <c:pt idx="2">
                  <c:v>Real</c:v>
                </c:pt>
              </c:strCache>
            </c:strRef>
          </c:cat>
          <c:val>
            <c:numRef>
              <c:f>Dashboard!$H$24:$H$26</c:f>
              <c:numCache>
                <c:formatCode>0.0</c:formatCode>
                <c:ptCount val="3"/>
                <c:pt idx="0">
                  <c:v>17.849999999999998</c:v>
                </c:pt>
                <c:pt idx="1">
                  <c:v>17.93</c:v>
                </c:pt>
                <c:pt idx="2">
                  <c:v>26.784999999999997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7-4B21-A083-888BBB8CF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571500</xdr:colOff>
      <xdr:row>31</xdr:row>
      <xdr:rowOff>177800</xdr:rowOff>
    </xdr:to>
    <xdr:sp macro="" textlink="">
      <xdr:nvSpPr>
        <xdr:cNvPr id="1029" name="Text Box 5" hidden="1">
          <a:extLst>
            <a:ext uri="{FF2B5EF4-FFF2-40B4-BE49-F238E27FC236}">
              <a16:creationId xmlns:a16="http://schemas.microsoft.com/office/drawing/2014/main" id="{5B8CA227-BFD7-64C1-88E9-A6E23EEB783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571500</xdr:colOff>
      <xdr:row>31</xdr:row>
      <xdr:rowOff>177800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E0B1F302-9C2D-59F7-DF9B-85FD85A3CA7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482600</xdr:colOff>
      <xdr:row>29</xdr:row>
      <xdr:rowOff>177800</xdr:rowOff>
    </xdr:to>
    <xdr:sp macro="" textlink="">
      <xdr:nvSpPr>
        <xdr:cNvPr id="2051" name="Text Box 3" hidden="1">
          <a:extLst>
            <a:ext uri="{FF2B5EF4-FFF2-40B4-BE49-F238E27FC236}">
              <a16:creationId xmlns:a16="http://schemas.microsoft.com/office/drawing/2014/main" id="{4C14FF88-1E7B-6981-1723-324489F6F9C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482600</xdr:colOff>
      <xdr:row>29</xdr:row>
      <xdr:rowOff>177800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3FEE0C15-F6C4-FCB9-DE03-A6F9A0075A6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482600</xdr:colOff>
      <xdr:row>30</xdr:row>
      <xdr:rowOff>177800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B31B8C25-0F75-2157-3CD2-4272610478D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482600</xdr:colOff>
      <xdr:row>30</xdr:row>
      <xdr:rowOff>177800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D746DE5B-F029-0979-41E0-DB87BD287DF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482600</xdr:colOff>
      <xdr:row>30</xdr:row>
      <xdr:rowOff>177800</xdr:rowOff>
    </xdr:to>
    <xdr:sp macro="" textlink="">
      <xdr:nvSpPr>
        <xdr:cNvPr id="3074" name="Text Box 2" hidden="1">
          <a:extLst>
            <a:ext uri="{FF2B5EF4-FFF2-40B4-BE49-F238E27FC236}">
              <a16:creationId xmlns:a16="http://schemas.microsoft.com/office/drawing/2014/main" id="{2F4F3293-D6B8-8FA4-CE64-ACDECAC709A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482600</xdr:colOff>
      <xdr:row>30</xdr:row>
      <xdr:rowOff>177800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63083825-9423-1FF6-DA71-DE16D378685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482600</xdr:colOff>
      <xdr:row>30</xdr:row>
      <xdr:rowOff>177800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5103363-9FDE-9104-A38B-1C29A310250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482600</xdr:colOff>
      <xdr:row>30</xdr:row>
      <xdr:rowOff>177800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A4C525A-9F86-58B6-C0CC-DF90AAA242C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482600</xdr:colOff>
      <xdr:row>29</xdr:row>
      <xdr:rowOff>177800</xdr:rowOff>
    </xdr:to>
    <xdr:sp macro="" textlink="">
      <xdr:nvSpPr>
        <xdr:cNvPr id="4098" name="Text Box 2" hidden="1">
          <a:extLst>
            <a:ext uri="{FF2B5EF4-FFF2-40B4-BE49-F238E27FC236}">
              <a16:creationId xmlns:a16="http://schemas.microsoft.com/office/drawing/2014/main" id="{7645B7EA-F03E-A177-D8CB-0C9C49E4B53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482600</xdr:colOff>
      <xdr:row>29</xdr:row>
      <xdr:rowOff>177800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C62EB4E-03FB-F777-443A-C03D4BCB461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482600</xdr:colOff>
      <xdr:row>30</xdr:row>
      <xdr:rowOff>177800</xdr:rowOff>
    </xdr:to>
    <xdr:sp macro="" textlink="">
      <xdr:nvSpPr>
        <xdr:cNvPr id="5123" name="Text Box 3" hidden="1">
          <a:extLst>
            <a:ext uri="{FF2B5EF4-FFF2-40B4-BE49-F238E27FC236}">
              <a16:creationId xmlns:a16="http://schemas.microsoft.com/office/drawing/2014/main" id="{0DF58B35-CEAD-89E3-33C2-9F4C6012B49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482600</xdr:colOff>
      <xdr:row>30</xdr:row>
      <xdr:rowOff>177800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EADA45F2-1A07-ABDB-E324-1BFFADB9BBB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26</xdr:row>
      <xdr:rowOff>126999</xdr:rowOff>
    </xdr:from>
    <xdr:to>
      <xdr:col>4</xdr:col>
      <xdr:colOff>1552574</xdr:colOff>
      <xdr:row>51</xdr:row>
      <xdr:rowOff>85725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1806574</xdr:colOff>
      <xdr:row>26</xdr:row>
      <xdr:rowOff>168274</xdr:rowOff>
    </xdr:from>
    <xdr:to>
      <xdr:col>14</xdr:col>
      <xdr:colOff>219074</xdr:colOff>
      <xdr:row>51</xdr:row>
      <xdr:rowOff>104774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showGridLines="0" tabSelected="1" topLeftCell="A2" zoomScale="145" zoomScaleNormal="145" workbookViewId="0">
      <selection activeCell="A2" sqref="A2"/>
    </sheetView>
  </sheetViews>
  <sheetFormatPr defaultRowHeight="14.5" x14ac:dyDescent="0.35"/>
  <cols>
    <col min="1" max="1" width="85" customWidth="1"/>
    <col min="2" max="2" width="26" customWidth="1"/>
    <col min="3" max="8" width="18" customWidth="1"/>
  </cols>
  <sheetData>
    <row r="1" spans="1:8" ht="22" customHeight="1" x14ac:dyDescent="0.35">
      <c r="A1" s="30" t="s">
        <v>219</v>
      </c>
      <c r="B1" s="31"/>
      <c r="C1" s="31"/>
      <c r="D1" s="31"/>
      <c r="E1" s="31"/>
      <c r="F1" s="31"/>
      <c r="G1" s="31"/>
      <c r="H1" s="31"/>
    </row>
    <row r="2" spans="1:8" x14ac:dyDescent="0.35">
      <c r="A2" s="1"/>
      <c r="B2" s="1"/>
      <c r="C2" s="1"/>
      <c r="D2" s="1"/>
      <c r="E2" s="1"/>
      <c r="F2" s="1"/>
      <c r="G2" s="1"/>
      <c r="H2" s="1"/>
    </row>
    <row r="3" spans="1:8" ht="15.5" x14ac:dyDescent="0.35">
      <c r="A3" s="2" t="s">
        <v>0</v>
      </c>
      <c r="B3" s="1"/>
      <c r="C3" s="1"/>
      <c r="D3" s="1"/>
      <c r="E3" s="1"/>
      <c r="F3" s="1"/>
      <c r="G3" s="1"/>
      <c r="H3" s="1"/>
    </row>
    <row r="4" spans="1:8" x14ac:dyDescent="0.35">
      <c r="A4" s="3" t="s">
        <v>1</v>
      </c>
      <c r="B4" s="1"/>
      <c r="C4" s="1"/>
      <c r="D4" s="1"/>
      <c r="E4" s="1"/>
      <c r="F4" s="1"/>
      <c r="G4" s="1"/>
      <c r="H4" s="1"/>
    </row>
    <row r="5" spans="1:8" x14ac:dyDescent="0.35">
      <c r="A5" s="3" t="s">
        <v>2</v>
      </c>
      <c r="B5" s="1"/>
      <c r="C5" s="1"/>
      <c r="D5" s="1"/>
      <c r="E5" s="1"/>
      <c r="F5" s="1"/>
      <c r="G5" s="1"/>
      <c r="H5" s="1"/>
    </row>
    <row r="6" spans="1:8" ht="29" x14ac:dyDescent="0.35">
      <c r="A6" s="3" t="s">
        <v>3</v>
      </c>
      <c r="B6" s="1"/>
      <c r="C6" s="1"/>
      <c r="D6" s="1"/>
      <c r="E6" s="1"/>
      <c r="F6" s="1"/>
      <c r="G6" s="1"/>
      <c r="H6" s="1"/>
    </row>
    <row r="7" spans="1:8" x14ac:dyDescent="0.35">
      <c r="A7" s="3" t="s">
        <v>4</v>
      </c>
      <c r="B7" s="1"/>
      <c r="C7" s="1"/>
      <c r="D7" s="1"/>
      <c r="E7" s="1"/>
      <c r="F7" s="1"/>
      <c r="G7" s="1"/>
      <c r="H7" s="1"/>
    </row>
    <row r="8" spans="1:8" x14ac:dyDescent="0.35">
      <c r="A8" s="3" t="s">
        <v>5</v>
      </c>
      <c r="B8" s="1"/>
      <c r="C8" s="1"/>
      <c r="D8" s="1"/>
      <c r="E8" s="1"/>
      <c r="F8" s="1"/>
      <c r="G8" s="1"/>
      <c r="H8" s="1"/>
    </row>
    <row r="9" spans="1:8" ht="29" x14ac:dyDescent="0.35">
      <c r="A9" s="3" t="s">
        <v>6</v>
      </c>
      <c r="B9" s="1"/>
      <c r="C9" s="1"/>
      <c r="D9" s="1"/>
      <c r="E9" s="1"/>
      <c r="F9" s="1"/>
      <c r="G9" s="1"/>
      <c r="H9" s="1"/>
    </row>
    <row r="10" spans="1:8" x14ac:dyDescent="0.35">
      <c r="A10" s="1"/>
      <c r="B10" s="1"/>
      <c r="C10" s="1"/>
      <c r="D10" s="1"/>
      <c r="E10" s="1"/>
      <c r="F10" s="1"/>
      <c r="G10" s="1"/>
      <c r="H10" s="1"/>
    </row>
    <row r="11" spans="1:8" x14ac:dyDescent="0.35">
      <c r="A11" s="1"/>
      <c r="B11" s="1"/>
      <c r="C11" s="1"/>
      <c r="D11" s="1"/>
      <c r="E11" s="1"/>
      <c r="F11" s="1"/>
      <c r="G11" s="1"/>
      <c r="H11" s="1"/>
    </row>
    <row r="12" spans="1:8" x14ac:dyDescent="0.35">
      <c r="A12" s="28" t="s">
        <v>7</v>
      </c>
      <c r="B12" s="29"/>
      <c r="C12" s="29"/>
      <c r="D12" s="29"/>
      <c r="E12" s="29"/>
      <c r="F12" s="1"/>
      <c r="G12" s="1"/>
      <c r="H12" s="1"/>
    </row>
    <row r="13" spans="1:8" x14ac:dyDescent="0.35">
      <c r="A13" s="1" t="s">
        <v>8</v>
      </c>
      <c r="B13" s="1" t="s">
        <v>9</v>
      </c>
      <c r="C13" s="4" t="s">
        <v>10</v>
      </c>
      <c r="D13" s="1"/>
      <c r="E13" s="1"/>
      <c r="F13" s="1"/>
      <c r="G13" s="1"/>
      <c r="H13" s="1"/>
    </row>
    <row r="14" spans="1:8" x14ac:dyDescent="0.35">
      <c r="A14" s="1" t="s">
        <v>11</v>
      </c>
      <c r="B14" s="1" t="s">
        <v>12</v>
      </c>
      <c r="C14" s="5" t="s">
        <v>13</v>
      </c>
      <c r="D14" s="1"/>
      <c r="E14" s="1"/>
      <c r="F14" s="1"/>
      <c r="G14" s="1"/>
      <c r="H14" s="1"/>
    </row>
    <row r="15" spans="1:8" x14ac:dyDescent="0.35">
      <c r="A15" s="1" t="s">
        <v>14</v>
      </c>
      <c r="B15" s="1" t="s">
        <v>15</v>
      </c>
      <c r="C15" s="6" t="s">
        <v>16</v>
      </c>
      <c r="D15" s="1"/>
      <c r="E15" s="1"/>
      <c r="F15" s="1"/>
      <c r="G15" s="1"/>
      <c r="H15" s="1"/>
    </row>
    <row r="16" spans="1:8" x14ac:dyDescent="0.35">
      <c r="A16" s="1" t="s">
        <v>17</v>
      </c>
      <c r="B16" s="1" t="s">
        <v>18</v>
      </c>
      <c r="C16" s="7" t="s">
        <v>19</v>
      </c>
      <c r="D16" s="1"/>
      <c r="E16" s="1"/>
      <c r="F16" s="1"/>
      <c r="G16" s="1"/>
      <c r="H16" s="1"/>
    </row>
    <row r="17" spans="1:8" x14ac:dyDescent="0.35">
      <c r="A17" s="1"/>
      <c r="B17" s="1"/>
      <c r="C17" s="1"/>
      <c r="D17" s="1"/>
      <c r="E17" s="1"/>
      <c r="F17" s="1"/>
      <c r="G17" s="1"/>
      <c r="H17" s="1"/>
    </row>
    <row r="18" spans="1:8" x14ac:dyDescent="0.35">
      <c r="A18" s="1"/>
      <c r="B18" s="1"/>
      <c r="C18" s="1"/>
      <c r="D18" s="1"/>
      <c r="E18" s="1"/>
      <c r="F18" s="1"/>
      <c r="G18" s="1"/>
      <c r="H18" s="1"/>
    </row>
    <row r="19" spans="1:8" x14ac:dyDescent="0.35">
      <c r="A19" s="28" t="s">
        <v>20</v>
      </c>
      <c r="B19" s="29"/>
      <c r="C19" s="29"/>
      <c r="D19" s="29"/>
      <c r="E19" s="29"/>
      <c r="F19" s="29"/>
      <c r="G19" s="29"/>
      <c r="H19" s="29"/>
    </row>
    <row r="20" spans="1:8" ht="29" x14ac:dyDescent="0.35">
      <c r="A20" s="3" t="s">
        <v>21</v>
      </c>
      <c r="B20" s="1"/>
      <c r="C20" s="1"/>
      <c r="D20" s="1"/>
      <c r="E20" s="1"/>
      <c r="F20" s="1"/>
      <c r="G20" s="1"/>
      <c r="H20" s="1"/>
    </row>
    <row r="21" spans="1:8" ht="29" x14ac:dyDescent="0.35">
      <c r="A21" s="3" t="s">
        <v>22</v>
      </c>
      <c r="B21" s="1"/>
      <c r="C21" s="1"/>
      <c r="D21" s="1"/>
      <c r="E21" s="1"/>
      <c r="F21" s="1"/>
      <c r="G21" s="1"/>
      <c r="H21" s="1"/>
    </row>
    <row r="22" spans="1:8" ht="29" x14ac:dyDescent="0.35">
      <c r="A22" s="3" t="s">
        <v>23</v>
      </c>
      <c r="B22" s="1"/>
      <c r="C22" s="1"/>
      <c r="D22" s="1"/>
      <c r="E22" s="1"/>
      <c r="F22" s="1"/>
      <c r="G22" s="1"/>
      <c r="H22" s="1"/>
    </row>
    <row r="23" spans="1:8" ht="29" x14ac:dyDescent="0.35">
      <c r="A23" s="3" t="s">
        <v>24</v>
      </c>
      <c r="B23" s="1"/>
      <c r="C23" s="1"/>
      <c r="D23" s="1"/>
      <c r="E23" s="1"/>
      <c r="F23" s="1"/>
      <c r="G23" s="1"/>
      <c r="H23" s="1"/>
    </row>
  </sheetData>
  <mergeCells count="3">
    <mergeCell ref="A12:E12"/>
    <mergeCell ref="A19:H19"/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7"/>
  <sheetViews>
    <sheetView showGridLines="0" workbookViewId="0">
      <selection activeCell="F7" sqref="F7"/>
    </sheetView>
  </sheetViews>
  <sheetFormatPr defaultRowHeight="14.5" x14ac:dyDescent="0.35"/>
  <cols>
    <col min="1" max="1" width="22" customWidth="1"/>
    <col min="2" max="3" width="12" customWidth="1"/>
    <col min="4" max="4" width="18" customWidth="1"/>
    <col min="5" max="8" width="16" customWidth="1"/>
    <col min="9" max="10" width="10" hidden="1" customWidth="1"/>
    <col min="11" max="11" width="12" hidden="1" customWidth="1"/>
  </cols>
  <sheetData>
    <row r="1" spans="1:11" ht="22" customHeight="1" x14ac:dyDescent="0.35">
      <c r="A1" s="30" t="s">
        <v>181</v>
      </c>
      <c r="B1" s="31"/>
      <c r="C1" s="31"/>
      <c r="D1" s="31"/>
      <c r="E1" s="31"/>
      <c r="F1" s="31"/>
      <c r="G1" s="31"/>
      <c r="H1" s="31"/>
    </row>
    <row r="2" spans="1:1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5">
      <c r="A3" s="28" t="s">
        <v>182</v>
      </c>
      <c r="B3" s="29"/>
      <c r="C3" s="29"/>
      <c r="D3" s="29"/>
      <c r="E3" s="29"/>
      <c r="F3" s="29"/>
      <c r="G3" s="29"/>
      <c r="H3" s="29"/>
      <c r="I3" s="1"/>
      <c r="J3" s="1"/>
      <c r="K3" s="1"/>
    </row>
    <row r="4" spans="1:11" x14ac:dyDescent="0.35">
      <c r="A4" s="8" t="s">
        <v>183</v>
      </c>
      <c r="B4" s="8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8" t="s">
        <v>190</v>
      </c>
      <c r="I4" s="1"/>
      <c r="J4" s="1"/>
      <c r="K4" s="1"/>
    </row>
    <row r="5" spans="1:11" x14ac:dyDescent="0.35">
      <c r="A5" s="1" t="s">
        <v>191</v>
      </c>
      <c r="B5" s="14">
        <v>1</v>
      </c>
      <c r="C5" s="14">
        <v>1</v>
      </c>
      <c r="D5" s="14">
        <v>1</v>
      </c>
      <c r="E5" s="15">
        <f>IF(I5&gt;6,0,(Inputs!$B$6*B5*J5)-K5+IF(Inputs!$B$11="IV",Inputs!$B$9*C5*Fontes_Premissas!$B$14,0))</f>
        <v>107100</v>
      </c>
      <c r="F5" s="15">
        <f>(Inputs!$B$6*B5*IF(Inputs!$B$5="Serviços",Fontes_Premissas!$B$17,Fontes_Premissas!$B$15)*Fontes_Premissas!$B$10)+(MAX(Inputs!$B$6*B5*IF(Inputs!$B$5="Serviços",Fontes_Premissas!$B$17,Fontes_Premissas!$B$15)-Fontes_Premissas!$B$12,0)*Fontes_Premissas!$B$11)+(Inputs!$B$6*B5*IF(Inputs!$B$5="Serviços",Fontes_Premissas!$B$18,Fontes_Premissas!$B$16)*Fontes_Premissas!$B$13)+(Inputs!$B$6*B5*(Fontes_Premissas!$B$6+Fontes_Premissas!$B$7+IF(Inputs!$B$5="Serviços",Inputs!$B$14,Inputs!$B$15)))</f>
        <v>107580</v>
      </c>
      <c r="G5" s="15">
        <f>MAX((Inputs!$B$6*B5-(Inputs!$B$6*B5*Inputs!$B$12*D5)-Inputs!$B$9*C5-(Inputs!$B$6*B5*Inputs!$B$13)),0)*(Fontes_Premissas!$B$10+Fontes_Premissas!$B$13)+MAX(MAX((Inputs!$B$6*B5-(Inputs!$B$6*B5*Inputs!$B$12*D5)-Inputs!$B$9*C5-(Inputs!$B$6*B5*Inputs!$B$13)),0)-Fontes_Premissas!$B$12,0)*Fontes_Premissas!$B$11+MAX(Inputs!$B$6*B5*(Fontes_Premissas!$B$8+Fontes_Premissas!$B$9)-((Inputs!$B$6*B5*Inputs!$B$12*D5)*(Fontes_Premissas!$B$8+Fontes_Premissas!$B$9)*Inputs!$B$16),0)+(Inputs!$B$6*B5*IF(Inputs!$B$5="Serviços",Inputs!$B$14,Inputs!$B$15))</f>
        <v>160710</v>
      </c>
      <c r="H5" s="5" t="str">
        <f t="shared" ref="H5:H11" si="0">IF(E5=MIN(E5:G5),"Simples",IF(F5=MIN(E5:G5),"Presumido","Real"))</f>
        <v>Simples</v>
      </c>
      <c r="I5" s="26">
        <f>IF(Inputs!$B$6*B5&lt;=180000,1,IF(Inputs!$B$6*B5&lt;=360000,2,IF(Inputs!$B$6*B5&lt;=720000,3,IF(Inputs!$B$6*B5&lt;=1800000,4,IF(Inputs!$B$6*B5&lt;=3600000,5,IF(Inputs!$B$6*B5&lt;=4800000,6,7))))))</f>
        <v>3</v>
      </c>
      <c r="J5" s="16">
        <f>IF(I5&gt;6,0,IF(Inputs!$B$11="I",INDEX(TaxTables!$D$4:$D$9,I5),IF(Inputs!$B$11="II",INDEX(TaxTables!$D$12:$D$17,I5),IF(Inputs!$B$11="III",INDEX(TaxTables!$D$20:$D$25,I5),IF(Inputs!$B$11="IV",INDEX(TaxTables!$D$28:$D$33,I5),IF(Inputs!$B$11="V",INDEX(TaxTables!$D$36:$D$41,I5),0))))))</f>
        <v>0.19500000000000001</v>
      </c>
      <c r="K5" s="15">
        <f>IF(I5&gt;6,0,IF(Inputs!$B$11="I",INDEX(TaxTables!$E$4:$E$9,I5),IF(Inputs!$B$11="II",INDEX(TaxTables!$E$12:$E$17,I5),IF(Inputs!$B$11="III",INDEX(TaxTables!$E$20:$E$25,I5),IF(Inputs!$B$11="IV",INDEX(TaxTables!$E$28:$E$33,I5),IF(Inputs!$B$11="V",INDEX(TaxTables!$E$36:$E$41,I5),0))))))</f>
        <v>9900</v>
      </c>
    </row>
    <row r="6" spans="1:11" x14ac:dyDescent="0.35">
      <c r="A6" s="1" t="s">
        <v>192</v>
      </c>
      <c r="B6" s="14">
        <v>0.8</v>
      </c>
      <c r="C6" s="14">
        <v>1</v>
      </c>
      <c r="D6" s="14">
        <v>1</v>
      </c>
      <c r="E6" s="15">
        <f>IF(I6&gt;6,0,(Inputs!$B$6*B6*J6)-K6+IF(Inputs!$B$11="IV",Inputs!$B$9*C6*Fontes_Premissas!$B$14,0))</f>
        <v>83700</v>
      </c>
      <c r="F6" s="15">
        <f>(Inputs!$B$6*B6*IF(Inputs!$B$5="Serviços",Fontes_Premissas!$B$17,Fontes_Premissas!$B$15)*Fontes_Premissas!$B$10)+(MAX(Inputs!$B$6*B6*IF(Inputs!$B$5="Serviços",Fontes_Premissas!$B$17,Fontes_Premissas!$B$15)-Fontes_Premissas!$B$12,0)*Fontes_Premissas!$B$11)+(Inputs!$B$6*B6*IF(Inputs!$B$5="Serviços",Fontes_Premissas!$B$18,Fontes_Premissas!$B$16)*Fontes_Premissas!$B$13)+(Inputs!$B$6*B6*(Fontes_Premissas!$B$6+Fontes_Premissas!$B$7+IF(Inputs!$B$5="Serviços",Inputs!$B$14,Inputs!$B$15)))</f>
        <v>86064</v>
      </c>
      <c r="G6" s="15">
        <f>MAX((Inputs!$B$6*B6-(Inputs!$B$6*B6*Inputs!$B$12*D6)-Inputs!$B$9*C6-(Inputs!$B$6*B6*Inputs!$B$13)),0)*(Fontes_Premissas!$B$10+Fontes_Premissas!$B$13)+MAX(MAX((Inputs!$B$6*B6-(Inputs!$B$6*B6*Inputs!$B$12*D6)-Inputs!$B$9*C6-(Inputs!$B$6*B6*Inputs!$B$13)),0)-Fontes_Premissas!$B$12,0)*Fontes_Premissas!$B$11+MAX(Inputs!$B$6*B6*(Fontes_Premissas!$B$8+Fontes_Premissas!$B$9)-((Inputs!$B$6*B6*Inputs!$B$12*D6)*(Fontes_Premissas!$B$8+Fontes_Premissas!$B$9)*Inputs!$B$16),0)+(Inputs!$B$6*B6*IF(Inputs!$B$5="Serviços",Inputs!$B$14,Inputs!$B$15))</f>
        <v>119928</v>
      </c>
      <c r="H6" s="5" t="str">
        <f t="shared" si="0"/>
        <v>Simples</v>
      </c>
      <c r="I6" s="26">
        <f>IF(Inputs!$B$6*B6&lt;=180000,1,IF(Inputs!$B$6*B6&lt;=360000,2,IF(Inputs!$B$6*B6&lt;=720000,3,IF(Inputs!$B$6*B6&lt;=1800000,4,IF(Inputs!$B$6*B6&lt;=3600000,5,IF(Inputs!$B$6*B6&lt;=4800000,6,7))))))</f>
        <v>3</v>
      </c>
      <c r="J6" s="16">
        <f>IF(I6&gt;6,0,IF(Inputs!$B$11="I",INDEX(TaxTables!$D$4:$D$9,I6),IF(Inputs!$B$11="II",INDEX(TaxTables!$D$12:$D$17,I6),IF(Inputs!$B$11="III",INDEX(TaxTables!$D$20:$D$25,I6),IF(Inputs!$B$11="IV",INDEX(TaxTables!$D$28:$D$33,I6),IF(Inputs!$B$11="V",INDEX(TaxTables!$D$36:$D$41,I6),0))))))</f>
        <v>0.19500000000000001</v>
      </c>
      <c r="K6" s="15">
        <f>IF(I6&gt;6,0,IF(Inputs!$B$11="I",INDEX(TaxTables!$E$4:$E$9,I6),IF(Inputs!$B$11="II",INDEX(TaxTables!$E$12:$E$17,I6),IF(Inputs!$B$11="III",INDEX(TaxTables!$E$20:$E$25,I6),IF(Inputs!$B$11="IV",INDEX(TaxTables!$E$28:$E$33,I6),IF(Inputs!$B$11="V",INDEX(TaxTables!$E$36:$E$41,I6),0))))))</f>
        <v>9900</v>
      </c>
    </row>
    <row r="7" spans="1:11" x14ac:dyDescent="0.35">
      <c r="A7" s="1" t="s">
        <v>193</v>
      </c>
      <c r="B7" s="14">
        <v>1.2</v>
      </c>
      <c r="C7" s="14">
        <v>1</v>
      </c>
      <c r="D7" s="14">
        <v>1</v>
      </c>
      <c r="E7" s="15">
        <f>IF(I7&gt;6,0,(Inputs!$B$6*B7*J7)-K7+IF(Inputs!$B$11="IV",Inputs!$B$9*C7*Fontes_Premissas!$B$14,0))</f>
        <v>130500</v>
      </c>
      <c r="F7" s="15">
        <f>(Inputs!$B$6*B7*IF(Inputs!$B$5="Serviços",Fontes_Premissas!$B$17,Fontes_Premissas!$B$15)*Fontes_Premissas!$B$10)+(MAX(Inputs!$B$6*B7*IF(Inputs!$B$5="Serviços",Fontes_Premissas!$B$17,Fontes_Premissas!$B$15)-Fontes_Premissas!$B$12,0)*Fontes_Premissas!$B$11)+(Inputs!$B$6*B7*IF(Inputs!$B$5="Serviços",Fontes_Premissas!$B$18,Fontes_Premissas!$B$16)*Fontes_Premissas!$B$13)+(Inputs!$B$6*B7*(Fontes_Premissas!$B$6+Fontes_Premissas!$B$7+IF(Inputs!$B$5="Serviços",Inputs!$B$14,Inputs!$B$15)))</f>
        <v>129096</v>
      </c>
      <c r="G7" s="15">
        <f>MAX((Inputs!$B$6*B7-(Inputs!$B$6*B7*Inputs!$B$12*D7)-Inputs!$B$9*C7-(Inputs!$B$6*B7*Inputs!$B$13)),0)*(Fontes_Premissas!$B$10+Fontes_Premissas!$B$13)+MAX(MAX((Inputs!$B$6*B7-(Inputs!$B$6*B7*Inputs!$B$12*D7)-Inputs!$B$9*C7-(Inputs!$B$6*B7*Inputs!$B$13)),0)-Fontes_Premissas!$B$12,0)*Fontes_Premissas!$B$11+MAX(Inputs!$B$6*B7*(Fontes_Premissas!$B$8+Fontes_Premissas!$B$9)-((Inputs!$B$6*B7*Inputs!$B$12*D7)*(Fontes_Premissas!$B$8+Fontes_Premissas!$B$9)*Inputs!$B$16),0)+(Inputs!$B$6*B7*IF(Inputs!$B$5="Serviços",Inputs!$B$14,Inputs!$B$15))</f>
        <v>202692</v>
      </c>
      <c r="H7" s="5" t="str">
        <f t="shared" si="0"/>
        <v>Presumido</v>
      </c>
      <c r="I7" s="26">
        <f>IF(Inputs!$B$6*B7&lt;=180000,1,IF(Inputs!$B$6*B7&lt;=360000,2,IF(Inputs!$B$6*B7&lt;=720000,3,IF(Inputs!$B$6*B7&lt;=1800000,4,IF(Inputs!$B$6*B7&lt;=3600000,5,IF(Inputs!$B$6*B7&lt;=4800000,6,7))))))</f>
        <v>3</v>
      </c>
      <c r="J7" s="16">
        <f>IF(I7&gt;6,0,IF(Inputs!$B$11="I",INDEX(TaxTables!$D$4:$D$9,I7),IF(Inputs!$B$11="II",INDEX(TaxTables!$D$12:$D$17,I7),IF(Inputs!$B$11="III",INDEX(TaxTables!$D$20:$D$25,I7),IF(Inputs!$B$11="IV",INDEX(TaxTables!$D$28:$D$33,I7),IF(Inputs!$B$11="V",INDEX(TaxTables!$D$36:$D$41,I7),0))))))</f>
        <v>0.19500000000000001</v>
      </c>
      <c r="K7" s="15">
        <f>IF(I7&gt;6,0,IF(Inputs!$B$11="I",INDEX(TaxTables!$E$4:$E$9,I7),IF(Inputs!$B$11="II",INDEX(TaxTables!$E$12:$E$17,I7),IF(Inputs!$B$11="III",INDEX(TaxTables!$E$20:$E$25,I7),IF(Inputs!$B$11="IV",INDEX(TaxTables!$E$28:$E$33,I7),IF(Inputs!$B$11="V",INDEX(TaxTables!$E$36:$E$41,I7),0))))))</f>
        <v>9900</v>
      </c>
    </row>
    <row r="8" spans="1:11" x14ac:dyDescent="0.35">
      <c r="A8" s="1" t="s">
        <v>194</v>
      </c>
      <c r="B8" s="14">
        <v>1</v>
      </c>
      <c r="C8" s="14">
        <v>0.8</v>
      </c>
      <c r="D8" s="14">
        <v>1</v>
      </c>
      <c r="E8" s="15">
        <f>IF(I8&gt;6,0,(Inputs!$B$6*B8*J8)-K8+IF(Inputs!$B$11="IV",Inputs!$B$9*C8*Fontes_Premissas!$B$14,0))</f>
        <v>107100</v>
      </c>
      <c r="F8" s="15">
        <f>(Inputs!$B$6*B8*IF(Inputs!$B$5="Serviços",Fontes_Premissas!$B$17,Fontes_Premissas!$B$15)*Fontes_Premissas!$B$10)+(MAX(Inputs!$B$6*B8*IF(Inputs!$B$5="Serviços",Fontes_Premissas!$B$17,Fontes_Premissas!$B$15)-Fontes_Premissas!$B$12,0)*Fontes_Premissas!$B$11)+(Inputs!$B$6*B8*IF(Inputs!$B$5="Serviços",Fontes_Premissas!$B$18,Fontes_Premissas!$B$16)*Fontes_Premissas!$B$13)+(Inputs!$B$6*B8*(Fontes_Premissas!$B$6+Fontes_Premissas!$B$7+IF(Inputs!$B$5="Serviços",Inputs!$B$14,Inputs!$B$15)))</f>
        <v>107580</v>
      </c>
      <c r="G8" s="15">
        <f>MAX((Inputs!$B$6*B8-(Inputs!$B$6*B8*Inputs!$B$12*D8)-Inputs!$B$9*C8-(Inputs!$B$6*B8*Inputs!$B$13)),0)*(Fontes_Premissas!$B$10+Fontes_Premissas!$B$13)+MAX(MAX((Inputs!$B$6*B8-(Inputs!$B$6*B8*Inputs!$B$12*D8)-Inputs!$B$9*C8-(Inputs!$B$6*B8*Inputs!$B$13)),0)-Fontes_Premissas!$B$12,0)*Fontes_Premissas!$B$11+MAX(Inputs!$B$6*B8*(Fontes_Premissas!$B$8+Fontes_Premissas!$B$9)-((Inputs!$B$6*B8*Inputs!$B$12*D8)*(Fontes_Premissas!$B$8+Fontes_Premissas!$B$9)*Inputs!$B$16),0)+(Inputs!$B$6*B8*IF(Inputs!$B$5="Serviços",Inputs!$B$14,Inputs!$B$15))</f>
        <v>169350</v>
      </c>
      <c r="H8" s="5" t="str">
        <f t="shared" si="0"/>
        <v>Simples</v>
      </c>
      <c r="I8" s="26">
        <f>IF(Inputs!$B$6*B8&lt;=180000,1,IF(Inputs!$B$6*B8&lt;=360000,2,IF(Inputs!$B$6*B8&lt;=720000,3,IF(Inputs!$B$6*B8&lt;=1800000,4,IF(Inputs!$B$6*B8&lt;=3600000,5,IF(Inputs!$B$6*B8&lt;=4800000,6,7))))))</f>
        <v>3</v>
      </c>
      <c r="J8" s="16">
        <f>IF(I8&gt;6,0,IF(Inputs!$B$11="I",INDEX(TaxTables!$D$4:$D$9,I8),IF(Inputs!$B$11="II",INDEX(TaxTables!$D$12:$D$17,I8),IF(Inputs!$B$11="III",INDEX(TaxTables!$D$20:$D$25,I8),IF(Inputs!$B$11="IV",INDEX(TaxTables!$D$28:$D$33,I8),IF(Inputs!$B$11="V",INDEX(TaxTables!$D$36:$D$41,I8),0))))))</f>
        <v>0.19500000000000001</v>
      </c>
      <c r="K8" s="15">
        <f>IF(I8&gt;6,0,IF(Inputs!$B$11="I",INDEX(TaxTables!$E$4:$E$9,I8),IF(Inputs!$B$11="II",INDEX(TaxTables!$E$12:$E$17,I8),IF(Inputs!$B$11="III",INDEX(TaxTables!$E$20:$E$25,I8),IF(Inputs!$B$11="IV",INDEX(TaxTables!$E$28:$E$33,I8),IF(Inputs!$B$11="V",INDEX(TaxTables!$E$36:$E$41,I8),0))))))</f>
        <v>9900</v>
      </c>
    </row>
    <row r="9" spans="1:11" x14ac:dyDescent="0.35">
      <c r="A9" s="1" t="s">
        <v>195</v>
      </c>
      <c r="B9" s="14">
        <v>1</v>
      </c>
      <c r="C9" s="14">
        <v>1.2</v>
      </c>
      <c r="D9" s="14">
        <v>1</v>
      </c>
      <c r="E9" s="15">
        <f>IF(I9&gt;6,0,(Inputs!$B$6*B9*J9)-K9+IF(Inputs!$B$11="IV",Inputs!$B$9*C9*Fontes_Premissas!$B$14,0))</f>
        <v>107100</v>
      </c>
      <c r="F9" s="15">
        <f>(Inputs!$B$6*B9*IF(Inputs!$B$5="Serviços",Fontes_Premissas!$B$17,Fontes_Premissas!$B$15)*Fontes_Premissas!$B$10)+(MAX(Inputs!$B$6*B9*IF(Inputs!$B$5="Serviços",Fontes_Premissas!$B$17,Fontes_Premissas!$B$15)-Fontes_Premissas!$B$12,0)*Fontes_Premissas!$B$11)+(Inputs!$B$6*B9*IF(Inputs!$B$5="Serviços",Fontes_Premissas!$B$18,Fontes_Premissas!$B$16)*Fontes_Premissas!$B$13)+(Inputs!$B$6*B9*(Fontes_Premissas!$B$6+Fontes_Premissas!$B$7+IF(Inputs!$B$5="Serviços",Inputs!$B$14,Inputs!$B$15)))</f>
        <v>107580</v>
      </c>
      <c r="G9" s="15">
        <f>MAX((Inputs!$B$6*B9-(Inputs!$B$6*B9*Inputs!$B$12*D9)-Inputs!$B$9*C9-(Inputs!$B$6*B9*Inputs!$B$13)),0)*(Fontes_Premissas!$B$10+Fontes_Premissas!$B$13)+MAX(MAX((Inputs!$B$6*B9-(Inputs!$B$6*B9*Inputs!$B$12*D9)-Inputs!$B$9*C9-(Inputs!$B$6*B9*Inputs!$B$13)),0)-Fontes_Premissas!$B$12,0)*Fontes_Premissas!$B$11+MAX(Inputs!$B$6*B9*(Fontes_Premissas!$B$8+Fontes_Premissas!$B$9)-((Inputs!$B$6*B9*Inputs!$B$12*D9)*(Fontes_Premissas!$B$8+Fontes_Premissas!$B$9)*Inputs!$B$16),0)+(Inputs!$B$6*B9*IF(Inputs!$B$5="Serviços",Inputs!$B$14,Inputs!$B$15))</f>
        <v>152070</v>
      </c>
      <c r="H9" s="5" t="str">
        <f t="shared" si="0"/>
        <v>Simples</v>
      </c>
      <c r="I9" s="26">
        <f>IF(Inputs!$B$6*B9&lt;=180000,1,IF(Inputs!$B$6*B9&lt;=360000,2,IF(Inputs!$B$6*B9&lt;=720000,3,IF(Inputs!$B$6*B9&lt;=1800000,4,IF(Inputs!$B$6*B9&lt;=3600000,5,IF(Inputs!$B$6*B9&lt;=4800000,6,7))))))</f>
        <v>3</v>
      </c>
      <c r="J9" s="16">
        <f>IF(I9&gt;6,0,IF(Inputs!$B$11="I",INDEX(TaxTables!$D$4:$D$9,I9),IF(Inputs!$B$11="II",INDEX(TaxTables!$D$12:$D$17,I9),IF(Inputs!$B$11="III",INDEX(TaxTables!$D$20:$D$25,I9),IF(Inputs!$B$11="IV",INDEX(TaxTables!$D$28:$D$33,I9),IF(Inputs!$B$11="V",INDEX(TaxTables!$D$36:$D$41,I9),0))))))</f>
        <v>0.19500000000000001</v>
      </c>
      <c r="K9" s="15">
        <f>IF(I9&gt;6,0,IF(Inputs!$B$11="I",INDEX(TaxTables!$E$4:$E$9,I9),IF(Inputs!$B$11="II",INDEX(TaxTables!$E$12:$E$17,I9),IF(Inputs!$B$11="III",INDEX(TaxTables!$E$20:$E$25,I9),IF(Inputs!$B$11="IV",INDEX(TaxTables!$E$28:$E$33,I9),IF(Inputs!$B$11="V",INDEX(TaxTables!$E$36:$E$41,I9),0))))))</f>
        <v>9900</v>
      </c>
    </row>
    <row r="10" spans="1:11" x14ac:dyDescent="0.35">
      <c r="A10" s="1" t="s">
        <v>196</v>
      </c>
      <c r="B10" s="14">
        <v>1</v>
      </c>
      <c r="C10" s="14">
        <v>1</v>
      </c>
      <c r="D10" s="14">
        <v>1.2</v>
      </c>
      <c r="E10" s="15">
        <f>IF(I10&gt;6,0,(Inputs!$B$6*B10*J10)-K10+IF(Inputs!$B$11="IV",Inputs!$B$9*C10*Fontes_Premissas!$B$14,0))</f>
        <v>107100</v>
      </c>
      <c r="F10" s="15">
        <f>(Inputs!$B$6*B10*IF(Inputs!$B$5="Serviços",Fontes_Premissas!$B$17,Fontes_Premissas!$B$15)*Fontes_Premissas!$B$10)+(MAX(Inputs!$B$6*B10*IF(Inputs!$B$5="Serviços",Fontes_Premissas!$B$17,Fontes_Premissas!$B$15)-Fontes_Premissas!$B$12,0)*Fontes_Premissas!$B$11)+(Inputs!$B$6*B10*IF(Inputs!$B$5="Serviços",Fontes_Premissas!$B$18,Fontes_Premissas!$B$16)*Fontes_Premissas!$B$13)+(Inputs!$B$6*B10*(Fontes_Premissas!$B$6+Fontes_Premissas!$B$7+IF(Inputs!$B$5="Serviços",Inputs!$B$14,Inputs!$B$15)))</f>
        <v>107580</v>
      </c>
      <c r="G10" s="15">
        <f>MAX((Inputs!$B$6*B10-(Inputs!$B$6*B10*Inputs!$B$12*D10)-Inputs!$B$9*C10-(Inputs!$B$6*B10*Inputs!$B$13)),0)*(Fontes_Premissas!$B$10+Fontes_Premissas!$B$13)+MAX(MAX((Inputs!$B$6*B10-(Inputs!$B$6*B10*Inputs!$B$12*D10)-Inputs!$B$9*C10-(Inputs!$B$6*B10*Inputs!$B$13)),0)-Fontes_Premissas!$B$12,0)*Fontes_Premissas!$B$11+MAX(Inputs!$B$6*B10*(Fontes_Premissas!$B$8+Fontes_Premissas!$B$9)-((Inputs!$B$6*B10*Inputs!$B$12*D10)*(Fontes_Premissas!$B$8+Fontes_Premissas!$B$9)*Inputs!$B$16),0)+(Inputs!$B$6*B10*IF(Inputs!$B$5="Serviços",Inputs!$B$14,Inputs!$B$15))</f>
        <v>153528</v>
      </c>
      <c r="H10" s="5" t="str">
        <f t="shared" si="0"/>
        <v>Simples</v>
      </c>
      <c r="I10" s="26">
        <f>IF(Inputs!$B$6*B10&lt;=180000,1,IF(Inputs!$B$6*B10&lt;=360000,2,IF(Inputs!$B$6*B10&lt;=720000,3,IF(Inputs!$B$6*B10&lt;=1800000,4,IF(Inputs!$B$6*B10&lt;=3600000,5,IF(Inputs!$B$6*B10&lt;=4800000,6,7))))))</f>
        <v>3</v>
      </c>
      <c r="J10" s="16">
        <f>IF(I10&gt;6,0,IF(Inputs!$B$11="I",INDEX(TaxTables!$D$4:$D$9,I10),IF(Inputs!$B$11="II",INDEX(TaxTables!$D$12:$D$17,I10),IF(Inputs!$B$11="III",INDEX(TaxTables!$D$20:$D$25,I10),IF(Inputs!$B$11="IV",INDEX(TaxTables!$D$28:$D$33,I10),IF(Inputs!$B$11="V",INDEX(TaxTables!$D$36:$D$41,I10),0))))))</f>
        <v>0.19500000000000001</v>
      </c>
      <c r="K10" s="15">
        <f>IF(I10&gt;6,0,IF(Inputs!$B$11="I",INDEX(TaxTables!$E$4:$E$9,I10),IF(Inputs!$B$11="II",INDEX(TaxTables!$E$12:$E$17,I10),IF(Inputs!$B$11="III",INDEX(TaxTables!$E$20:$E$25,I10),IF(Inputs!$B$11="IV",INDEX(TaxTables!$E$28:$E$33,I10),IF(Inputs!$B$11="V",INDEX(TaxTables!$E$36:$E$41,I10),0))))))</f>
        <v>9900</v>
      </c>
    </row>
    <row r="11" spans="1:11" x14ac:dyDescent="0.35">
      <c r="A11" s="1" t="s">
        <v>197</v>
      </c>
      <c r="B11" s="14">
        <v>1</v>
      </c>
      <c r="C11" s="14">
        <v>1</v>
      </c>
      <c r="D11" s="14">
        <v>0.8</v>
      </c>
      <c r="E11" s="15">
        <f>IF(I11&gt;6,0,(Inputs!$B$6*B11*J11)-K11+IF(Inputs!$B$11="IV",Inputs!$B$9*C11*Fontes_Premissas!$B$14,0))</f>
        <v>107100</v>
      </c>
      <c r="F11" s="15">
        <f>(Inputs!$B$6*B11*IF(Inputs!$B$5="Serviços",Fontes_Premissas!$B$17,Fontes_Premissas!$B$15)*Fontes_Premissas!$B$10)+(MAX(Inputs!$B$6*B11*IF(Inputs!$B$5="Serviços",Fontes_Premissas!$B$17,Fontes_Premissas!$B$15)-Fontes_Premissas!$B$12,0)*Fontes_Premissas!$B$11)+(Inputs!$B$6*B11*IF(Inputs!$B$5="Serviços",Fontes_Premissas!$B$18,Fontes_Premissas!$B$16)*Fontes_Premissas!$B$13)+(Inputs!$B$6*B11*(Fontes_Premissas!$B$6+Fontes_Premissas!$B$7+IF(Inputs!$B$5="Serviços",Inputs!$B$14,Inputs!$B$15)))</f>
        <v>107580</v>
      </c>
      <c r="G11" s="15">
        <f>MAX((Inputs!$B$6*B11-(Inputs!$B$6*B11*Inputs!$B$12*D11)-Inputs!$B$9*C11-(Inputs!$B$6*B11*Inputs!$B$13)),0)*(Fontes_Premissas!$B$10+Fontes_Premissas!$B$13)+MAX(MAX((Inputs!$B$6*B11-(Inputs!$B$6*B11*Inputs!$B$12*D11)-Inputs!$B$9*C11-(Inputs!$B$6*B11*Inputs!$B$13)),0)-Fontes_Premissas!$B$12,0)*Fontes_Premissas!$B$11+MAX(Inputs!$B$6*B11*(Fontes_Premissas!$B$8+Fontes_Premissas!$B$9)-((Inputs!$B$6*B11*Inputs!$B$12*D11)*(Fontes_Premissas!$B$8+Fontes_Premissas!$B$9)*Inputs!$B$16),0)+(Inputs!$B$6*B11*IF(Inputs!$B$5="Serviços",Inputs!$B$14,Inputs!$B$15))</f>
        <v>167892</v>
      </c>
      <c r="H11" s="5" t="str">
        <f t="shared" si="0"/>
        <v>Simples</v>
      </c>
      <c r="I11" s="26">
        <f>IF(Inputs!$B$6*B11&lt;=180000,1,IF(Inputs!$B$6*B11&lt;=360000,2,IF(Inputs!$B$6*B11&lt;=720000,3,IF(Inputs!$B$6*B11&lt;=1800000,4,IF(Inputs!$B$6*B11&lt;=3600000,5,IF(Inputs!$B$6*B11&lt;=4800000,6,7))))))</f>
        <v>3</v>
      </c>
      <c r="J11" s="16">
        <f>IF(I11&gt;6,0,IF(Inputs!$B$11="I",INDEX(TaxTables!$D$4:$D$9,I11),IF(Inputs!$B$11="II",INDEX(TaxTables!$D$12:$D$17,I11),IF(Inputs!$B$11="III",INDEX(TaxTables!$D$20:$D$25,I11),IF(Inputs!$B$11="IV",INDEX(TaxTables!$D$28:$D$33,I11),IF(Inputs!$B$11="V",INDEX(TaxTables!$D$36:$D$41,I11),0))))))</f>
        <v>0.19500000000000001</v>
      </c>
      <c r="K11" s="15">
        <f>IF(I11&gt;6,0,IF(Inputs!$B$11="I",INDEX(TaxTables!$E$4:$E$9,I11),IF(Inputs!$B$11="II",INDEX(TaxTables!$E$12:$E$17,I11),IF(Inputs!$B$11="III",INDEX(TaxTables!$E$20:$E$25,I11),IF(Inputs!$B$11="IV",INDEX(TaxTables!$E$28:$E$33,I11),IF(Inputs!$B$11="V",INDEX(TaxTables!$E$36:$E$41,I11),0))))))</f>
        <v>9900</v>
      </c>
    </row>
    <row r="12" spans="1:1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35">
      <c r="A14" s="28" t="s">
        <v>198</v>
      </c>
      <c r="B14" s="29"/>
      <c r="C14" s="29"/>
      <c r="D14" s="29"/>
      <c r="E14" s="29"/>
      <c r="F14" s="29"/>
      <c r="G14" s="29"/>
      <c r="H14" s="29"/>
      <c r="I14" s="1"/>
      <c r="J14" s="1"/>
      <c r="K14" s="1"/>
    </row>
    <row r="15" spans="1:11" ht="58" x14ac:dyDescent="0.35">
      <c r="A15" s="3" t="s">
        <v>199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87" x14ac:dyDescent="0.35">
      <c r="A16" s="3" t="s">
        <v>200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72.5" x14ac:dyDescent="0.35">
      <c r="A17" s="3" t="s">
        <v>201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</sheetData>
  <mergeCells count="3">
    <mergeCell ref="A3:H3"/>
    <mergeCell ref="A14:H14"/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2"/>
  <sheetViews>
    <sheetView showGridLines="0" workbookViewId="0">
      <selection activeCell="C4" sqref="C4"/>
    </sheetView>
  </sheetViews>
  <sheetFormatPr defaultRowHeight="14.5" x14ac:dyDescent="0.35"/>
  <cols>
    <col min="1" max="1" width="32" customWidth="1"/>
    <col min="2" max="2" width="14" customWidth="1"/>
    <col min="3" max="3" width="16" customWidth="1"/>
    <col min="4" max="4" width="10" customWidth="1"/>
    <col min="5" max="5" width="16" customWidth="1"/>
    <col min="6" max="6" width="14" customWidth="1"/>
    <col min="7" max="7" width="10" customWidth="1"/>
    <col min="8" max="8" width="14" customWidth="1"/>
    <col min="9" max="9" width="10" customWidth="1"/>
    <col min="10" max="13" width="16" customWidth="1"/>
    <col min="14" max="14" width="36" customWidth="1"/>
    <col min="15" max="17" width="13" hidden="1" customWidth="1"/>
  </cols>
  <sheetData>
    <row r="1" spans="1:17" ht="22" customHeight="1" x14ac:dyDescent="0.35">
      <c r="A1" s="30" t="s">
        <v>202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7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35">
      <c r="A3" s="8" t="s">
        <v>203</v>
      </c>
      <c r="B3" s="8" t="s">
        <v>85</v>
      </c>
      <c r="C3" s="8" t="s">
        <v>204</v>
      </c>
      <c r="D3" s="8" t="s">
        <v>205</v>
      </c>
      <c r="E3" s="8" t="s">
        <v>206</v>
      </c>
      <c r="F3" s="8" t="s">
        <v>207</v>
      </c>
      <c r="G3" s="8" t="s">
        <v>208</v>
      </c>
      <c r="H3" s="8" t="s">
        <v>209</v>
      </c>
      <c r="I3" s="8" t="s">
        <v>210</v>
      </c>
      <c r="J3" s="8" t="s">
        <v>187</v>
      </c>
      <c r="K3" s="8" t="s">
        <v>188</v>
      </c>
      <c r="L3" s="8" t="s">
        <v>189</v>
      </c>
      <c r="M3" s="8" t="s">
        <v>190</v>
      </c>
      <c r="N3" s="8" t="s">
        <v>30</v>
      </c>
      <c r="O3" s="1"/>
      <c r="P3" s="1"/>
      <c r="Q3" s="1"/>
    </row>
    <row r="4" spans="1:17" x14ac:dyDescent="0.35">
      <c r="A4" s="1" t="s">
        <v>211</v>
      </c>
      <c r="B4" s="1" t="s">
        <v>86</v>
      </c>
      <c r="C4" s="11">
        <v>3000000</v>
      </c>
      <c r="D4" s="12">
        <v>0.9</v>
      </c>
      <c r="E4" s="11">
        <v>1050000</v>
      </c>
      <c r="F4" s="12">
        <v>0.15</v>
      </c>
      <c r="G4" s="12">
        <v>0.18</v>
      </c>
      <c r="H4" s="12">
        <v>0.03</v>
      </c>
      <c r="I4" s="1" t="s">
        <v>78</v>
      </c>
      <c r="J4" s="15">
        <f>IF(O4&gt;6,0,(C4*P4)-Q4+IF(I4="IV",E4*Fontes_Premissas!$B$14,0))</f>
        <v>504360</v>
      </c>
      <c r="K4" s="15">
        <f>(C4*IF(B4="Serviços",Fontes_Premissas!$B$17,Fontes_Premissas!$B$15)*Fontes_Premissas!$B$10)+(MAX(C4*IF(B4="Serviços",Fontes_Premissas!$B$17,Fontes_Premissas!$B$15)-Fontes_Premissas!$B$12,0)*Fontes_Premissas!$B$11)+(C4*IF(B4="Serviços",Fontes_Premissas!$B$18,Fontes_Premissas!$B$16)*Fontes_Premissas!$B$13)+(C4*(Fontes_Premissas!$B$6+Fontes_Premissas!$B$7+H4))</f>
        <v>501900</v>
      </c>
      <c r="L4" s="15">
        <f>MAX((C4-(C4*F4)-E4-(C4*G4)),0)*(Fontes_Premissas!$B$10+Fontes_Premissas!$B$13)+MAX(MAX((C4-(C4*F4)-E4-(C4*G4)),0)-Fontes_Premissas!$B$12,0)*Fontes_Premissas!$B$11+MAX(C4*(Fontes_Premissas!$B$8+Fontes_Premissas!$B$9)-((C4*F4)*(Fontes_Premissas!$B$8+Fontes_Premissas!$B$9)),0)+(C4*H4)</f>
        <v>628275</v>
      </c>
      <c r="M4" s="5" t="str">
        <f>IF(J4=MIN(J4:L4),"Simples",IF(K4=MIN(J4:L4),"Presumido","Real"))</f>
        <v>Presumido</v>
      </c>
      <c r="N4" s="5" t="str">
        <f>IF(D4&gt;=0.6,"Bom caso para discutir crédito e competitividade no B2B.","Pressão menor do crédito.")</f>
        <v>Bom caso para discutir crédito e competitividade no B2B.</v>
      </c>
      <c r="O4" s="26">
        <f>IF(C4&lt;=180000,1,IF(C4&lt;=360000,2,IF(C4&lt;=720000,3,IF(C4&lt;=1800000,4,IF(C4&lt;=3600000,5,IF(C4&lt;=4800000,6,7))))))</f>
        <v>5</v>
      </c>
      <c r="P4" s="16">
        <f>IF(O4&gt;6,0,IF(I4="I",INDEX(TaxTables!$D$4:$D$9,O4),IF(I4="II",INDEX(TaxTables!$D$12:$D$17,O4),IF(I4="III",INDEX(TaxTables!$D$20:$D$25,O4),IF(I4="IV",INDEX(TaxTables!$D$28:$D$33,O4),IF(I4="V",INDEX(TaxTables!$D$36:$D$41,O4),0))))))</f>
        <v>0.21</v>
      </c>
      <c r="Q4" s="15">
        <f>IF(O4&gt;6,0,IF(I4="I",INDEX(TaxTables!$E$4:$E$9,O4),IF(I4="II",INDEX(TaxTables!$E$12:$E$17,O4),IF(I4="III",INDEX(TaxTables!$E$20:$E$25,O4),IF(I4="IV",INDEX(TaxTables!$E$28:$E$33,O4),IF(I4="V",INDEX(TaxTables!$E$36:$E$41,O4),0))))))</f>
        <v>125640</v>
      </c>
    </row>
    <row r="5" spans="1:17" x14ac:dyDescent="0.35">
      <c r="A5" s="1" t="s">
        <v>212</v>
      </c>
      <c r="B5" s="1" t="s">
        <v>213</v>
      </c>
      <c r="C5" s="11">
        <v>4200000</v>
      </c>
      <c r="D5" s="12">
        <v>0.15</v>
      </c>
      <c r="E5" s="11">
        <v>336000</v>
      </c>
      <c r="F5" s="12">
        <v>0.7</v>
      </c>
      <c r="G5" s="12">
        <v>0.1</v>
      </c>
      <c r="H5" s="12">
        <v>0.12</v>
      </c>
      <c r="I5" s="1" t="s">
        <v>76</v>
      </c>
      <c r="J5" s="15">
        <f>IF(O5&gt;6,0,(C5*P5)-Q5+IF(I5="IV",E5*Fontes_Premissas!$B$14,0))</f>
        <v>420000</v>
      </c>
      <c r="K5" s="15">
        <f>(C5*IF(B5="Serviços",Fontes_Premissas!$B$17,Fontes_Premissas!$B$15)*Fontes_Premissas!$B$10)+(MAX(C5*IF(B5="Serviços",Fontes_Premissas!$B$17,Fontes_Premissas!$B$15)-Fontes_Premissas!$B$12,0)*Fontes_Premissas!$B$11)+(C5*IF(B5="Serviços",Fontes_Premissas!$B$18,Fontes_Premissas!$B$16)*Fontes_Premissas!$B$13)+(C5*(Fontes_Premissas!$B$6+Fontes_Premissas!$B$7+H5))</f>
        <v>762660</v>
      </c>
      <c r="L5" s="15">
        <f>MAX((C5-(C5*F5)-E5-(C5*G5)),0)*(Fontes_Premissas!$B$10+Fontes_Premissas!$B$13)+MAX(MAX((C5-(C5*F5)-E5-(C5*G5)),0)-Fontes_Premissas!$B$12,0)*Fontes_Premissas!$B$11+MAX(C5*(Fontes_Premissas!$B$8+Fontes_Premissas!$B$9)-((C5*F5)*(Fontes_Premissas!$B$8+Fontes_Premissas!$B$9)),0)+(C5*H5)</f>
        <v>767910</v>
      </c>
      <c r="M5" s="5" t="str">
        <f>IF(J5=MIN(J5:L5),"Simples",IF(K5=MIN(J5:L5),"Presumido","Real"))</f>
        <v>Simples</v>
      </c>
      <c r="N5" s="5" t="str">
        <f>IF(D5&gt;=0.6,"Bom caso para discutir crédito e competitividade no B2B.","Pressão menor do crédito.")</f>
        <v>Pressão menor do crédito.</v>
      </c>
      <c r="O5" s="26">
        <f>IF(C5&lt;=180000,1,IF(C5&lt;=360000,2,IF(C5&lt;=720000,3,IF(C5&lt;=1800000,4,IF(C5&lt;=3600000,5,IF(C5&lt;=4800000,6,7))))))</f>
        <v>6</v>
      </c>
      <c r="P5" s="16">
        <f>IF(O5&gt;6,0,IF(I5="I",INDEX(TaxTables!$D$4:$D$9,O5),IF(I5="II",INDEX(TaxTables!$D$12:$D$17,O5),IF(I5="III",INDEX(TaxTables!$D$20:$D$25,O5),IF(I5="IV",INDEX(TaxTables!$D$28:$D$33,O5),IF(I5="V",INDEX(TaxTables!$D$36:$D$41,O5),0))))))</f>
        <v>0.19</v>
      </c>
      <c r="Q5" s="15">
        <f>IF(O5&gt;6,0,IF(I5="I",INDEX(TaxTables!$E$4:$E$9,O5),IF(I5="II",INDEX(TaxTables!$E$12:$E$17,O5),IF(I5="III",INDEX(TaxTables!$E$20:$E$25,O5),IF(I5="IV",INDEX(TaxTables!$E$28:$E$33,O5),IF(I5="V",INDEX(TaxTables!$E$36:$E$41,O5),0))))))</f>
        <v>378000</v>
      </c>
    </row>
    <row r="6" spans="1:17" x14ac:dyDescent="0.35">
      <c r="A6" s="1" t="s">
        <v>214</v>
      </c>
      <c r="B6" s="1" t="s">
        <v>86</v>
      </c>
      <c r="C6" s="11">
        <v>2400000</v>
      </c>
      <c r="D6" s="12">
        <v>0.95</v>
      </c>
      <c r="E6" s="11">
        <v>240000</v>
      </c>
      <c r="F6" s="12">
        <v>0.1</v>
      </c>
      <c r="G6" s="12">
        <v>0.25</v>
      </c>
      <c r="H6" s="12">
        <v>0.03</v>
      </c>
      <c r="I6" s="1" t="s">
        <v>80</v>
      </c>
      <c r="J6" s="15">
        <f>IF(O6&gt;6,0,(C6*P6)-Q6+IF(I6="IV",E6*Fontes_Premissas!$B$14,0))</f>
        <v>489900</v>
      </c>
      <c r="K6" s="15">
        <f>(C6*IF(B6="Serviços",Fontes_Premissas!$B$17,Fontes_Premissas!$B$15)*Fontes_Premissas!$B$10)+(MAX(C6*IF(B6="Serviços",Fontes_Premissas!$B$17,Fontes_Premissas!$B$15)-Fontes_Premissas!$B$12,0)*Fontes_Premissas!$B$11)+(C6*IF(B6="Serviços",Fontes_Premissas!$B$18,Fontes_Premissas!$B$16)*Fontes_Premissas!$B$13)+(C6*(Fontes_Premissas!$B$6+Fontes_Premissas!$B$7+H6))</f>
        <v>396720</v>
      </c>
      <c r="L6" s="15">
        <f>MAX((C6-(C6*F6)-E6-(C6*G6)),0)*(Fontes_Premissas!$B$10+Fontes_Premissas!$B$13)+MAX(MAX((C6-(C6*F6)-E6-(C6*G6)),0)-Fontes_Premissas!$B$12,0)*Fontes_Premissas!$B$11+MAX(C6*(Fontes_Premissas!$B$8+Fontes_Premissas!$B$9)-((C6*F6)*(Fontes_Premissas!$B$8+Fontes_Premissas!$B$9)),0)+(C6*H6)</f>
        <v>696600</v>
      </c>
      <c r="M6" s="5" t="str">
        <f>IF(J6=MIN(J6:L6),"Simples",IF(K6=MIN(J6:L6),"Presumido","Real"))</f>
        <v>Presumido</v>
      </c>
      <c r="N6" s="5" t="str">
        <f>IF(D6&gt;=0.6,"Bom caso para discutir crédito e competitividade no B2B.","Pressão menor do crédito.")</f>
        <v>Bom caso para discutir crédito e competitividade no B2B.</v>
      </c>
      <c r="O6" s="26">
        <f>IF(C6&lt;=180000,1,IF(C6&lt;=360000,2,IF(C6&lt;=720000,3,IF(C6&lt;=1800000,4,IF(C6&lt;=3600000,5,IF(C6&lt;=4800000,6,7))))))</f>
        <v>5</v>
      </c>
      <c r="P6" s="16">
        <f>IF(O6&gt;6,0,IF(I6="I",INDEX(TaxTables!$D$4:$D$9,O6),IF(I6="II",INDEX(TaxTables!$D$12:$D$17,O6),IF(I6="III",INDEX(TaxTables!$D$20:$D$25,O6),IF(I6="IV",INDEX(TaxTables!$D$28:$D$33,O6),IF(I6="V",INDEX(TaxTables!$D$36:$D$41,O6),0))))))</f>
        <v>0.23</v>
      </c>
      <c r="Q6" s="15">
        <f>IF(O6&gt;6,0,IF(I6="I",INDEX(TaxTables!$E$4:$E$9,O6),IF(I6="II",INDEX(TaxTables!$E$12:$E$17,O6),IF(I6="III",INDEX(TaxTables!$E$20:$E$25,O6),IF(I6="IV",INDEX(TaxTables!$E$28:$E$33,O6),IF(I6="V",INDEX(TaxTables!$E$36:$E$41,O6),0))))))</f>
        <v>62100</v>
      </c>
    </row>
    <row r="7" spans="1:17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5">
      <c r="A9" s="28" t="s">
        <v>215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1"/>
      <c r="N9" s="1"/>
      <c r="O9" s="1"/>
      <c r="P9" s="1"/>
      <c r="Q9" s="1"/>
    </row>
    <row r="10" spans="1:17" ht="29" x14ac:dyDescent="0.35">
      <c r="A10" s="3" t="s">
        <v>216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43.5" x14ac:dyDescent="0.35">
      <c r="A11" s="3" t="s">
        <v>217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43.5" x14ac:dyDescent="0.35">
      <c r="A12" s="3" t="s">
        <v>218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</sheetData>
  <mergeCells count="2">
    <mergeCell ref="A9:L9"/>
    <mergeCell ref="A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showGridLines="0" topLeftCell="A21" workbookViewId="0">
      <selection activeCell="D11" sqref="D11"/>
    </sheetView>
  </sheetViews>
  <sheetFormatPr defaultRowHeight="14.5" x14ac:dyDescent="0.35"/>
  <cols>
    <col min="1" max="1" width="40" customWidth="1"/>
    <col min="2" max="2" width="16" customWidth="1"/>
    <col min="3" max="3" width="14" customWidth="1"/>
    <col min="4" max="4" width="74" customWidth="1"/>
    <col min="5" max="5" width="22" customWidth="1"/>
  </cols>
  <sheetData>
    <row r="1" spans="1:8" ht="22" customHeight="1" x14ac:dyDescent="0.35">
      <c r="A1" s="30" t="s">
        <v>25</v>
      </c>
      <c r="B1" s="31"/>
      <c r="C1" s="31"/>
      <c r="D1" s="31"/>
      <c r="E1" s="31"/>
      <c r="F1" s="31"/>
      <c r="G1" s="31"/>
      <c r="H1" s="31"/>
    </row>
    <row r="2" spans="1:8" x14ac:dyDescent="0.35">
      <c r="A2" s="1"/>
      <c r="B2" s="1"/>
      <c r="C2" s="1"/>
      <c r="D2" s="1"/>
      <c r="E2" s="1"/>
      <c r="F2" s="1"/>
      <c r="G2" s="1"/>
      <c r="H2" s="1"/>
    </row>
    <row r="3" spans="1:8" x14ac:dyDescent="0.35">
      <c r="A3" s="28" t="s">
        <v>26</v>
      </c>
      <c r="B3" s="29"/>
      <c r="C3" s="29"/>
      <c r="D3" s="29"/>
      <c r="E3" s="29"/>
      <c r="F3" s="29"/>
      <c r="G3" s="1"/>
      <c r="H3" s="1"/>
    </row>
    <row r="4" spans="1:8" x14ac:dyDescent="0.35">
      <c r="A4" s="8" t="s">
        <v>19</v>
      </c>
      <c r="B4" s="8" t="s">
        <v>27</v>
      </c>
      <c r="C4" s="8" t="s">
        <v>28</v>
      </c>
      <c r="D4" s="8" t="s">
        <v>29</v>
      </c>
      <c r="E4" s="8" t="s">
        <v>30</v>
      </c>
      <c r="F4" s="8"/>
      <c r="G4" s="8"/>
      <c r="H4" s="8"/>
    </row>
    <row r="5" spans="1:8" x14ac:dyDescent="0.35">
      <c r="A5" s="8" t="s">
        <v>31</v>
      </c>
      <c r="B5" s="9">
        <v>4800000</v>
      </c>
      <c r="C5" s="1" t="s">
        <v>32</v>
      </c>
      <c r="D5" s="1" t="s">
        <v>33</v>
      </c>
      <c r="E5" s="1" t="s">
        <v>34</v>
      </c>
      <c r="F5" s="1"/>
      <c r="G5" s="1"/>
      <c r="H5" s="1"/>
    </row>
    <row r="6" spans="1:8" x14ac:dyDescent="0.35">
      <c r="A6" s="8" t="s">
        <v>35</v>
      </c>
      <c r="B6" s="10">
        <v>6.4999999999999997E-3</v>
      </c>
      <c r="C6" s="1" t="s">
        <v>36</v>
      </c>
      <c r="D6" s="1" t="s">
        <v>37</v>
      </c>
      <c r="E6" s="1" t="s">
        <v>38</v>
      </c>
      <c r="F6" s="1"/>
      <c r="G6" s="1"/>
      <c r="H6" s="1"/>
    </row>
    <row r="7" spans="1:8" x14ac:dyDescent="0.35">
      <c r="A7" s="8" t="s">
        <v>39</v>
      </c>
      <c r="B7" s="10">
        <v>0.03</v>
      </c>
      <c r="C7" s="1" t="s">
        <v>36</v>
      </c>
      <c r="D7" s="1" t="s">
        <v>37</v>
      </c>
      <c r="E7" s="1" t="s">
        <v>38</v>
      </c>
      <c r="F7" s="1"/>
      <c r="G7" s="1"/>
      <c r="H7" s="1"/>
    </row>
    <row r="8" spans="1:8" x14ac:dyDescent="0.35">
      <c r="A8" s="8" t="s">
        <v>40</v>
      </c>
      <c r="B8" s="10">
        <v>1.6500000000000001E-2</v>
      </c>
      <c r="C8" s="1" t="s">
        <v>36</v>
      </c>
      <c r="D8" s="1" t="s">
        <v>37</v>
      </c>
      <c r="E8" s="1" t="s">
        <v>38</v>
      </c>
      <c r="F8" s="1"/>
      <c r="G8" s="1"/>
      <c r="H8" s="1"/>
    </row>
    <row r="9" spans="1:8" x14ac:dyDescent="0.35">
      <c r="A9" s="8" t="s">
        <v>41</v>
      </c>
      <c r="B9" s="10">
        <v>7.5999999999999998E-2</v>
      </c>
      <c r="C9" s="1" t="s">
        <v>36</v>
      </c>
      <c r="D9" s="1" t="s">
        <v>37</v>
      </c>
      <c r="E9" s="1" t="s">
        <v>38</v>
      </c>
      <c r="F9" s="1"/>
      <c r="G9" s="1"/>
      <c r="H9" s="1"/>
    </row>
    <row r="10" spans="1:8" x14ac:dyDescent="0.35">
      <c r="A10" s="8" t="s">
        <v>42</v>
      </c>
      <c r="B10" s="10">
        <v>0.15</v>
      </c>
      <c r="C10" s="1" t="s">
        <v>36</v>
      </c>
      <c r="D10" s="1" t="s">
        <v>37</v>
      </c>
      <c r="E10" s="1" t="s">
        <v>38</v>
      </c>
      <c r="F10" s="1"/>
      <c r="G10" s="1"/>
      <c r="H10" s="1"/>
    </row>
    <row r="11" spans="1:8" x14ac:dyDescent="0.35">
      <c r="A11" s="8" t="s">
        <v>43</v>
      </c>
      <c r="B11" s="10">
        <v>0.1</v>
      </c>
      <c r="C11" s="1" t="s">
        <v>36</v>
      </c>
      <c r="D11" s="1" t="s">
        <v>37</v>
      </c>
      <c r="E11" s="1" t="s">
        <v>38</v>
      </c>
      <c r="F11" s="1"/>
      <c r="G11" s="1"/>
      <c r="H11" s="1"/>
    </row>
    <row r="12" spans="1:8" x14ac:dyDescent="0.35">
      <c r="A12" s="8" t="s">
        <v>44</v>
      </c>
      <c r="B12" s="9">
        <v>240000</v>
      </c>
      <c r="C12" s="1" t="s">
        <v>32</v>
      </c>
      <c r="D12" s="1" t="s">
        <v>37</v>
      </c>
      <c r="E12" s="1" t="s">
        <v>45</v>
      </c>
      <c r="F12" s="1"/>
      <c r="G12" s="1"/>
      <c r="H12" s="1"/>
    </row>
    <row r="13" spans="1:8" x14ac:dyDescent="0.35">
      <c r="A13" s="8" t="s">
        <v>46</v>
      </c>
      <c r="B13" s="10">
        <v>0.09</v>
      </c>
      <c r="C13" s="1" t="s">
        <v>36</v>
      </c>
      <c r="D13" s="1" t="s">
        <v>37</v>
      </c>
      <c r="E13" s="1" t="s">
        <v>38</v>
      </c>
      <c r="F13" s="1"/>
      <c r="G13" s="1"/>
      <c r="H13" s="1"/>
    </row>
    <row r="14" spans="1:8" x14ac:dyDescent="0.35">
      <c r="A14" s="8" t="s">
        <v>47</v>
      </c>
      <c r="B14" s="10">
        <v>0.2</v>
      </c>
      <c r="C14" s="1" t="s">
        <v>36</v>
      </c>
      <c r="D14" s="1" t="s">
        <v>48</v>
      </c>
      <c r="E14" s="1" t="s">
        <v>49</v>
      </c>
      <c r="F14" s="1"/>
      <c r="G14" s="1"/>
      <c r="H14" s="1"/>
    </row>
    <row r="15" spans="1:8" x14ac:dyDescent="0.35">
      <c r="A15" s="8" t="s">
        <v>50</v>
      </c>
      <c r="B15" s="10">
        <v>0.08</v>
      </c>
      <c r="C15" s="1" t="s">
        <v>36</v>
      </c>
      <c r="D15" s="1" t="s">
        <v>51</v>
      </c>
      <c r="E15" s="1" t="s">
        <v>38</v>
      </c>
      <c r="F15" s="1"/>
      <c r="G15" s="1"/>
      <c r="H15" s="1"/>
    </row>
    <row r="16" spans="1:8" x14ac:dyDescent="0.35">
      <c r="A16" s="8" t="s">
        <v>52</v>
      </c>
      <c r="B16" s="10">
        <v>0.12</v>
      </c>
      <c r="C16" s="1" t="s">
        <v>36</v>
      </c>
      <c r="D16" s="1" t="s">
        <v>51</v>
      </c>
      <c r="E16" s="1" t="s">
        <v>38</v>
      </c>
      <c r="F16" s="1"/>
      <c r="G16" s="1"/>
      <c r="H16" s="1"/>
    </row>
    <row r="17" spans="1:8" x14ac:dyDescent="0.35">
      <c r="A17" s="8" t="s">
        <v>53</v>
      </c>
      <c r="B17" s="10">
        <v>0.32</v>
      </c>
      <c r="C17" s="1" t="s">
        <v>36</v>
      </c>
      <c r="D17" s="1" t="s">
        <v>51</v>
      </c>
      <c r="E17" s="1" t="s">
        <v>38</v>
      </c>
      <c r="F17" s="1"/>
      <c r="G17" s="1"/>
      <c r="H17" s="1"/>
    </row>
    <row r="18" spans="1:8" x14ac:dyDescent="0.35">
      <c r="A18" s="8" t="s">
        <v>54</v>
      </c>
      <c r="B18" s="10">
        <v>0.32</v>
      </c>
      <c r="C18" s="1" t="s">
        <v>36</v>
      </c>
      <c r="D18" s="1" t="s">
        <v>51</v>
      </c>
      <c r="E18" s="1" t="s">
        <v>38</v>
      </c>
      <c r="F18" s="1"/>
      <c r="G18" s="1"/>
      <c r="H18" s="1"/>
    </row>
    <row r="19" spans="1:8" x14ac:dyDescent="0.35">
      <c r="A19" s="8" t="s">
        <v>55</v>
      </c>
      <c r="B19" s="10">
        <v>8.9999999999999993E-3</v>
      </c>
      <c r="C19" s="1" t="s">
        <v>36</v>
      </c>
      <c r="D19" s="1" t="s">
        <v>56</v>
      </c>
      <c r="E19" s="1" t="s">
        <v>57</v>
      </c>
      <c r="F19" s="1"/>
      <c r="G19" s="1"/>
      <c r="H19" s="1"/>
    </row>
    <row r="20" spans="1:8" x14ac:dyDescent="0.35">
      <c r="A20" s="8" t="s">
        <v>58</v>
      </c>
      <c r="B20" s="10">
        <v>1E-3</v>
      </c>
      <c r="C20" s="1" t="s">
        <v>36</v>
      </c>
      <c r="D20" s="1" t="s">
        <v>56</v>
      </c>
      <c r="E20" s="1" t="s">
        <v>57</v>
      </c>
      <c r="F20" s="1"/>
      <c r="G20" s="1"/>
      <c r="H20" s="1"/>
    </row>
    <row r="21" spans="1:8" x14ac:dyDescent="0.35">
      <c r="A21" s="1"/>
      <c r="B21" s="1"/>
      <c r="C21" s="1"/>
      <c r="D21" s="1"/>
      <c r="E21" s="1"/>
      <c r="F21" s="1"/>
      <c r="G21" s="1"/>
      <c r="H21" s="1"/>
    </row>
    <row r="22" spans="1:8" x14ac:dyDescent="0.35">
      <c r="A22" s="1"/>
      <c r="B22" s="1"/>
      <c r="C22" s="1"/>
      <c r="D22" s="1"/>
      <c r="E22" s="1"/>
      <c r="F22" s="1"/>
      <c r="G22" s="1"/>
      <c r="H22" s="1"/>
    </row>
    <row r="23" spans="1:8" x14ac:dyDescent="0.35">
      <c r="A23" s="28" t="s">
        <v>59</v>
      </c>
      <c r="B23" s="29"/>
      <c r="C23" s="29"/>
      <c r="D23" s="29"/>
      <c r="E23" s="29"/>
      <c r="F23" s="29"/>
      <c r="G23" s="29"/>
      <c r="H23" s="29"/>
    </row>
    <row r="24" spans="1:8" ht="43.5" x14ac:dyDescent="0.35">
      <c r="A24" s="3" t="s">
        <v>60</v>
      </c>
      <c r="B24" s="1"/>
      <c r="C24" s="1"/>
      <c r="D24" s="1"/>
      <c r="E24" s="1"/>
      <c r="F24" s="1"/>
      <c r="G24" s="1"/>
      <c r="H24" s="1"/>
    </row>
    <row r="25" spans="1:8" ht="29" x14ac:dyDescent="0.35">
      <c r="A25" s="3" t="s">
        <v>61</v>
      </c>
      <c r="B25" s="1"/>
      <c r="C25" s="1"/>
      <c r="D25" s="1"/>
      <c r="E25" s="1"/>
      <c r="F25" s="1"/>
      <c r="G25" s="1"/>
      <c r="H25" s="1"/>
    </row>
    <row r="26" spans="1:8" ht="29" x14ac:dyDescent="0.35">
      <c r="A26" s="3" t="s">
        <v>62</v>
      </c>
      <c r="B26" s="1"/>
      <c r="C26" s="1"/>
      <c r="D26" s="1"/>
      <c r="E26" s="1"/>
      <c r="F26" s="1"/>
      <c r="G26" s="1"/>
      <c r="H26" s="1"/>
    </row>
    <row r="27" spans="1:8" ht="29" x14ac:dyDescent="0.35">
      <c r="A27" s="3" t="s">
        <v>63</v>
      </c>
      <c r="B27" s="1"/>
      <c r="C27" s="1"/>
      <c r="D27" s="1"/>
      <c r="E27" s="1"/>
      <c r="F27" s="1"/>
      <c r="G27" s="1"/>
      <c r="H27" s="1"/>
    </row>
    <row r="28" spans="1:8" x14ac:dyDescent="0.35">
      <c r="A28" s="3" t="s">
        <v>64</v>
      </c>
      <c r="B28" s="1"/>
      <c r="C28" s="1"/>
      <c r="D28" s="1"/>
      <c r="E28" s="1"/>
      <c r="F28" s="1"/>
      <c r="G28" s="1"/>
      <c r="H28" s="1"/>
    </row>
    <row r="29" spans="1:8" x14ac:dyDescent="0.35">
      <c r="A29" s="1"/>
      <c r="B29" s="1"/>
      <c r="C29" s="1"/>
      <c r="D29" s="1"/>
      <c r="E29" s="1"/>
      <c r="F29" s="1"/>
      <c r="G29" s="1"/>
      <c r="H29" s="1"/>
    </row>
    <row r="30" spans="1:8" x14ac:dyDescent="0.35">
      <c r="A30" s="1"/>
      <c r="B30" s="1"/>
      <c r="C30" s="1"/>
      <c r="D30" s="1"/>
      <c r="E30" s="1"/>
      <c r="F30" s="1"/>
      <c r="G30" s="1"/>
      <c r="H30" s="1"/>
    </row>
    <row r="31" spans="1:8" x14ac:dyDescent="0.35">
      <c r="A31" s="28" t="s">
        <v>65</v>
      </c>
      <c r="B31" s="29"/>
      <c r="C31" s="29"/>
      <c r="D31" s="29"/>
      <c r="E31" s="29"/>
      <c r="F31" s="29"/>
      <c r="G31" s="29"/>
      <c r="H31" s="29"/>
    </row>
    <row r="32" spans="1:8" ht="43.5" x14ac:dyDescent="0.35">
      <c r="A32" s="3" t="s">
        <v>66</v>
      </c>
      <c r="B32" s="1"/>
      <c r="C32" s="1"/>
      <c r="D32" s="1"/>
      <c r="E32" s="1"/>
      <c r="F32" s="1"/>
      <c r="G32" s="1"/>
      <c r="H32" s="1"/>
    </row>
    <row r="33" spans="1:8" ht="43.5" x14ac:dyDescent="0.35">
      <c r="A33" s="3" t="s">
        <v>67</v>
      </c>
      <c r="B33" s="1"/>
      <c r="C33" s="1"/>
      <c r="D33" s="1"/>
      <c r="E33" s="1"/>
      <c r="F33" s="1"/>
      <c r="G33" s="1"/>
      <c r="H33" s="1"/>
    </row>
    <row r="34" spans="1:8" ht="43.5" x14ac:dyDescent="0.35">
      <c r="A34" s="3" t="s">
        <v>68</v>
      </c>
      <c r="B34" s="1"/>
      <c r="C34" s="1"/>
      <c r="D34" s="1"/>
      <c r="E34" s="1"/>
      <c r="F34" s="1"/>
      <c r="G34" s="1"/>
      <c r="H34" s="1"/>
    </row>
  </sheetData>
  <mergeCells count="4">
    <mergeCell ref="A3:F3"/>
    <mergeCell ref="A31:H31"/>
    <mergeCell ref="A23:H23"/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1"/>
  <sheetViews>
    <sheetView showGridLines="0" workbookViewId="0">
      <selection activeCell="C14" sqref="C14"/>
    </sheetView>
  </sheetViews>
  <sheetFormatPr defaultRowHeight="14.5" x14ac:dyDescent="0.35"/>
  <cols>
    <col min="1" max="2" width="10" customWidth="1"/>
    <col min="3" max="5" width="18" customWidth="1"/>
    <col min="6" max="6" width="70" customWidth="1"/>
  </cols>
  <sheetData>
    <row r="1" spans="1:6" ht="22" customHeight="1" x14ac:dyDescent="0.35">
      <c r="A1" s="30" t="s">
        <v>69</v>
      </c>
      <c r="B1" s="31"/>
      <c r="C1" s="31"/>
      <c r="D1" s="31"/>
      <c r="E1" s="31"/>
      <c r="F1" s="31"/>
    </row>
    <row r="2" spans="1:6" x14ac:dyDescent="0.35">
      <c r="A2" s="1"/>
      <c r="B2" s="1"/>
      <c r="C2" s="1"/>
      <c r="D2" s="1"/>
      <c r="E2" s="1"/>
      <c r="F2" s="1"/>
    </row>
    <row r="3" spans="1:6" x14ac:dyDescent="0.35">
      <c r="A3" s="8" t="s">
        <v>70</v>
      </c>
      <c r="B3" s="8" t="s">
        <v>71</v>
      </c>
      <c r="C3" s="8" t="s">
        <v>72</v>
      </c>
      <c r="D3" s="8" t="s">
        <v>73</v>
      </c>
      <c r="E3" s="8" t="s">
        <v>74</v>
      </c>
      <c r="F3" s="8" t="s">
        <v>75</v>
      </c>
    </row>
    <row r="4" spans="1:6" x14ac:dyDescent="0.35">
      <c r="A4" s="1" t="s">
        <v>76</v>
      </c>
      <c r="B4" s="1">
        <v>1</v>
      </c>
      <c r="C4" s="11">
        <v>180000</v>
      </c>
      <c r="D4" s="12">
        <v>0.04</v>
      </c>
      <c r="E4" s="11">
        <v>0</v>
      </c>
      <c r="F4" s="1" t="s">
        <v>33</v>
      </c>
    </row>
    <row r="5" spans="1:6" x14ac:dyDescent="0.35">
      <c r="A5" s="1" t="s">
        <v>76</v>
      </c>
      <c r="B5" s="1">
        <v>2</v>
      </c>
      <c r="C5" s="11">
        <v>360000</v>
      </c>
      <c r="D5" s="12">
        <v>7.2999999999999995E-2</v>
      </c>
      <c r="E5" s="11">
        <v>5940</v>
      </c>
      <c r="F5" s="1" t="s">
        <v>33</v>
      </c>
    </row>
    <row r="6" spans="1:6" x14ac:dyDescent="0.35">
      <c r="A6" s="1" t="s">
        <v>76</v>
      </c>
      <c r="B6" s="1">
        <v>3</v>
      </c>
      <c r="C6" s="11">
        <v>720000</v>
      </c>
      <c r="D6" s="12">
        <v>9.5000000000000001E-2</v>
      </c>
      <c r="E6" s="11">
        <v>13860</v>
      </c>
      <c r="F6" s="1" t="s">
        <v>33</v>
      </c>
    </row>
    <row r="7" spans="1:6" x14ac:dyDescent="0.35">
      <c r="A7" s="1" t="s">
        <v>76</v>
      </c>
      <c r="B7" s="1">
        <v>4</v>
      </c>
      <c r="C7" s="11">
        <v>1800000</v>
      </c>
      <c r="D7" s="12">
        <v>0.107</v>
      </c>
      <c r="E7" s="11">
        <v>22500</v>
      </c>
      <c r="F7" s="1" t="s">
        <v>33</v>
      </c>
    </row>
    <row r="8" spans="1:6" x14ac:dyDescent="0.35">
      <c r="A8" s="1" t="s">
        <v>76</v>
      </c>
      <c r="B8" s="1">
        <v>5</v>
      </c>
      <c r="C8" s="11">
        <v>3600000</v>
      </c>
      <c r="D8" s="12">
        <v>0.14299999999999999</v>
      </c>
      <c r="E8" s="11">
        <v>87300</v>
      </c>
      <c r="F8" s="1" t="s">
        <v>33</v>
      </c>
    </row>
    <row r="9" spans="1:6" x14ac:dyDescent="0.35">
      <c r="A9" s="1" t="s">
        <v>76</v>
      </c>
      <c r="B9" s="1">
        <v>6</v>
      </c>
      <c r="C9" s="11">
        <v>4800000</v>
      </c>
      <c r="D9" s="12">
        <v>0.19</v>
      </c>
      <c r="E9" s="11">
        <v>378000</v>
      </c>
      <c r="F9" s="1" t="s">
        <v>33</v>
      </c>
    </row>
    <row r="10" spans="1:6" x14ac:dyDescent="0.35">
      <c r="A10" s="1"/>
      <c r="B10" s="1"/>
      <c r="C10" s="1"/>
      <c r="D10" s="1"/>
      <c r="E10" s="1"/>
      <c r="F10" s="1"/>
    </row>
    <row r="11" spans="1:6" x14ac:dyDescent="0.35">
      <c r="A11" s="1"/>
      <c r="B11" s="1"/>
      <c r="C11" s="1"/>
      <c r="D11" s="1"/>
      <c r="E11" s="1"/>
      <c r="F11" s="1"/>
    </row>
    <row r="12" spans="1:6" x14ac:dyDescent="0.35">
      <c r="A12" s="1" t="s">
        <v>77</v>
      </c>
      <c r="B12" s="1">
        <v>1</v>
      </c>
      <c r="C12" s="11">
        <v>180000</v>
      </c>
      <c r="D12" s="12">
        <v>4.4999999999999998E-2</v>
      </c>
      <c r="E12" s="11">
        <v>0</v>
      </c>
      <c r="F12" s="1" t="s">
        <v>33</v>
      </c>
    </row>
    <row r="13" spans="1:6" x14ac:dyDescent="0.35">
      <c r="A13" s="1" t="s">
        <v>77</v>
      </c>
      <c r="B13" s="1">
        <v>2</v>
      </c>
      <c r="C13" s="11">
        <v>360000</v>
      </c>
      <c r="D13" s="12">
        <v>7.8E-2</v>
      </c>
      <c r="E13" s="11">
        <v>5940</v>
      </c>
      <c r="F13" s="1" t="s">
        <v>33</v>
      </c>
    </row>
    <row r="14" spans="1:6" x14ac:dyDescent="0.35">
      <c r="A14" s="1" t="s">
        <v>77</v>
      </c>
      <c r="B14" s="1">
        <v>3</v>
      </c>
      <c r="C14" s="11">
        <v>720000</v>
      </c>
      <c r="D14" s="12">
        <v>0.1</v>
      </c>
      <c r="E14" s="11">
        <v>13860</v>
      </c>
      <c r="F14" s="1" t="s">
        <v>33</v>
      </c>
    </row>
    <row r="15" spans="1:6" x14ac:dyDescent="0.35">
      <c r="A15" s="1" t="s">
        <v>77</v>
      </c>
      <c r="B15" s="1">
        <v>4</v>
      </c>
      <c r="C15" s="11">
        <v>1800000</v>
      </c>
      <c r="D15" s="12">
        <v>0.112</v>
      </c>
      <c r="E15" s="11">
        <v>22500</v>
      </c>
      <c r="F15" s="1" t="s">
        <v>33</v>
      </c>
    </row>
    <row r="16" spans="1:6" x14ac:dyDescent="0.35">
      <c r="A16" s="1" t="s">
        <v>77</v>
      </c>
      <c r="B16" s="1">
        <v>5</v>
      </c>
      <c r="C16" s="11">
        <v>3600000</v>
      </c>
      <c r="D16" s="12">
        <v>0.14699999999999999</v>
      </c>
      <c r="E16" s="11">
        <v>85500</v>
      </c>
      <c r="F16" s="1" t="s">
        <v>33</v>
      </c>
    </row>
    <row r="17" spans="1:6" x14ac:dyDescent="0.35">
      <c r="A17" s="1" t="s">
        <v>77</v>
      </c>
      <c r="B17" s="1">
        <v>6</v>
      </c>
      <c r="C17" s="11">
        <v>4800000</v>
      </c>
      <c r="D17" s="12">
        <v>0.3</v>
      </c>
      <c r="E17" s="11">
        <v>720000</v>
      </c>
      <c r="F17" s="1" t="s">
        <v>33</v>
      </c>
    </row>
    <row r="18" spans="1:6" x14ac:dyDescent="0.35">
      <c r="A18" s="1"/>
      <c r="B18" s="1"/>
      <c r="C18" s="1"/>
      <c r="D18" s="1"/>
      <c r="E18" s="1"/>
      <c r="F18" s="1"/>
    </row>
    <row r="19" spans="1:6" x14ac:dyDescent="0.35">
      <c r="A19" s="1"/>
      <c r="B19" s="1"/>
      <c r="C19" s="1"/>
      <c r="D19" s="1"/>
      <c r="E19" s="1"/>
      <c r="F19" s="1"/>
    </row>
    <row r="20" spans="1:6" x14ac:dyDescent="0.35">
      <c r="A20" s="1" t="s">
        <v>78</v>
      </c>
      <c r="B20" s="1">
        <v>1</v>
      </c>
      <c r="C20" s="11">
        <v>180000</v>
      </c>
      <c r="D20" s="12">
        <v>0.06</v>
      </c>
      <c r="E20" s="11">
        <v>0</v>
      </c>
      <c r="F20" s="1" t="s">
        <v>33</v>
      </c>
    </row>
    <row r="21" spans="1:6" x14ac:dyDescent="0.35">
      <c r="A21" s="1" t="s">
        <v>78</v>
      </c>
      <c r="B21" s="1">
        <v>2</v>
      </c>
      <c r="C21" s="11">
        <v>360000</v>
      </c>
      <c r="D21" s="12">
        <v>0.112</v>
      </c>
      <c r="E21" s="11">
        <v>9360</v>
      </c>
      <c r="F21" s="1" t="s">
        <v>33</v>
      </c>
    </row>
    <row r="22" spans="1:6" x14ac:dyDescent="0.35">
      <c r="A22" s="1" t="s">
        <v>78</v>
      </c>
      <c r="B22" s="1">
        <v>3</v>
      </c>
      <c r="C22" s="11">
        <v>720000</v>
      </c>
      <c r="D22" s="12">
        <v>0.13500000000000001</v>
      </c>
      <c r="E22" s="11">
        <v>17640</v>
      </c>
      <c r="F22" s="1" t="s">
        <v>33</v>
      </c>
    </row>
    <row r="23" spans="1:6" x14ac:dyDescent="0.35">
      <c r="A23" s="1" t="s">
        <v>78</v>
      </c>
      <c r="B23" s="1">
        <v>4</v>
      </c>
      <c r="C23" s="11">
        <v>1800000</v>
      </c>
      <c r="D23" s="12">
        <v>0.16</v>
      </c>
      <c r="E23" s="11">
        <v>35640</v>
      </c>
      <c r="F23" s="1" t="s">
        <v>33</v>
      </c>
    </row>
    <row r="24" spans="1:6" x14ac:dyDescent="0.35">
      <c r="A24" s="1" t="s">
        <v>78</v>
      </c>
      <c r="B24" s="1">
        <v>5</v>
      </c>
      <c r="C24" s="11">
        <v>3600000</v>
      </c>
      <c r="D24" s="12">
        <v>0.21</v>
      </c>
      <c r="E24" s="11">
        <v>125640</v>
      </c>
      <c r="F24" s="1" t="s">
        <v>33</v>
      </c>
    </row>
    <row r="25" spans="1:6" x14ac:dyDescent="0.35">
      <c r="A25" s="1" t="s">
        <v>78</v>
      </c>
      <c r="B25" s="1">
        <v>6</v>
      </c>
      <c r="C25" s="11">
        <v>4800000</v>
      </c>
      <c r="D25" s="12">
        <v>0.33</v>
      </c>
      <c r="E25" s="11">
        <v>648000</v>
      </c>
      <c r="F25" s="1" t="s">
        <v>33</v>
      </c>
    </row>
    <row r="26" spans="1:6" x14ac:dyDescent="0.35">
      <c r="A26" s="1"/>
      <c r="B26" s="1"/>
      <c r="C26" s="1"/>
      <c r="D26" s="1"/>
      <c r="E26" s="1"/>
      <c r="F26" s="1"/>
    </row>
    <row r="27" spans="1:6" x14ac:dyDescent="0.35">
      <c r="A27" s="1"/>
      <c r="B27" s="1"/>
      <c r="C27" s="1"/>
      <c r="D27" s="1"/>
      <c r="E27" s="1"/>
      <c r="F27" s="1"/>
    </row>
    <row r="28" spans="1:6" x14ac:dyDescent="0.35">
      <c r="A28" s="1" t="s">
        <v>79</v>
      </c>
      <c r="B28" s="1">
        <v>1</v>
      </c>
      <c r="C28" s="11">
        <v>180000</v>
      </c>
      <c r="D28" s="12">
        <v>4.4999999999999998E-2</v>
      </c>
      <c r="E28" s="11">
        <v>0</v>
      </c>
      <c r="F28" s="1" t="s">
        <v>33</v>
      </c>
    </row>
    <row r="29" spans="1:6" x14ac:dyDescent="0.35">
      <c r="A29" s="1" t="s">
        <v>79</v>
      </c>
      <c r="B29" s="1">
        <v>2</v>
      </c>
      <c r="C29" s="11">
        <v>360000</v>
      </c>
      <c r="D29" s="12">
        <v>0.09</v>
      </c>
      <c r="E29" s="11">
        <v>8100</v>
      </c>
      <c r="F29" s="1" t="s">
        <v>33</v>
      </c>
    </row>
    <row r="30" spans="1:6" x14ac:dyDescent="0.35">
      <c r="A30" s="1" t="s">
        <v>79</v>
      </c>
      <c r="B30" s="1">
        <v>3</v>
      </c>
      <c r="C30" s="11">
        <v>720000</v>
      </c>
      <c r="D30" s="12">
        <v>0.10199999999999999</v>
      </c>
      <c r="E30" s="11">
        <v>12420</v>
      </c>
      <c r="F30" s="1" t="s">
        <v>33</v>
      </c>
    </row>
    <row r="31" spans="1:6" x14ac:dyDescent="0.35">
      <c r="A31" s="1" t="s">
        <v>79</v>
      </c>
      <c r="B31" s="1">
        <v>4</v>
      </c>
      <c r="C31" s="11">
        <v>1800000</v>
      </c>
      <c r="D31" s="12">
        <v>0.14000000000000001</v>
      </c>
      <c r="E31" s="11">
        <v>39780</v>
      </c>
      <c r="F31" s="1" t="s">
        <v>33</v>
      </c>
    </row>
    <row r="32" spans="1:6" x14ac:dyDescent="0.35">
      <c r="A32" s="1" t="s">
        <v>79</v>
      </c>
      <c r="B32" s="1">
        <v>5</v>
      </c>
      <c r="C32" s="11">
        <v>3600000</v>
      </c>
      <c r="D32" s="12">
        <v>0.22</v>
      </c>
      <c r="E32" s="11">
        <v>183780</v>
      </c>
      <c r="F32" s="1" t="s">
        <v>33</v>
      </c>
    </row>
    <row r="33" spans="1:6" x14ac:dyDescent="0.35">
      <c r="A33" s="1" t="s">
        <v>79</v>
      </c>
      <c r="B33" s="1">
        <v>6</v>
      </c>
      <c r="C33" s="11">
        <v>4800000</v>
      </c>
      <c r="D33" s="12">
        <v>0.33</v>
      </c>
      <c r="E33" s="11">
        <v>828000</v>
      </c>
      <c r="F33" s="1" t="s">
        <v>33</v>
      </c>
    </row>
    <row r="34" spans="1:6" x14ac:dyDescent="0.35">
      <c r="A34" s="1"/>
      <c r="B34" s="1"/>
      <c r="C34" s="1"/>
      <c r="D34" s="1"/>
      <c r="E34" s="1"/>
      <c r="F34" s="1"/>
    </row>
    <row r="35" spans="1:6" x14ac:dyDescent="0.35">
      <c r="A35" s="1"/>
      <c r="B35" s="1"/>
      <c r="C35" s="1"/>
      <c r="D35" s="1"/>
      <c r="E35" s="1"/>
      <c r="F35" s="1"/>
    </row>
    <row r="36" spans="1:6" x14ac:dyDescent="0.35">
      <c r="A36" s="1" t="s">
        <v>80</v>
      </c>
      <c r="B36" s="1">
        <v>1</v>
      </c>
      <c r="C36" s="11">
        <v>180000</v>
      </c>
      <c r="D36" s="12">
        <v>0.155</v>
      </c>
      <c r="E36" s="11">
        <v>0</v>
      </c>
      <c r="F36" s="1" t="s">
        <v>33</v>
      </c>
    </row>
    <row r="37" spans="1:6" x14ac:dyDescent="0.35">
      <c r="A37" s="1" t="s">
        <v>80</v>
      </c>
      <c r="B37" s="1">
        <v>2</v>
      </c>
      <c r="C37" s="11">
        <v>360000</v>
      </c>
      <c r="D37" s="12">
        <v>0.18</v>
      </c>
      <c r="E37" s="11">
        <v>4500</v>
      </c>
      <c r="F37" s="1" t="s">
        <v>33</v>
      </c>
    </row>
    <row r="38" spans="1:6" x14ac:dyDescent="0.35">
      <c r="A38" s="1" t="s">
        <v>80</v>
      </c>
      <c r="B38" s="1">
        <v>3</v>
      </c>
      <c r="C38" s="11">
        <v>720000</v>
      </c>
      <c r="D38" s="12">
        <v>0.19500000000000001</v>
      </c>
      <c r="E38" s="11">
        <v>9900</v>
      </c>
      <c r="F38" s="1" t="s">
        <v>33</v>
      </c>
    </row>
    <row r="39" spans="1:6" x14ac:dyDescent="0.35">
      <c r="A39" s="1" t="s">
        <v>80</v>
      </c>
      <c r="B39" s="1">
        <v>4</v>
      </c>
      <c r="C39" s="11">
        <v>1800000</v>
      </c>
      <c r="D39" s="12">
        <v>0.20499999999999999</v>
      </c>
      <c r="E39" s="11">
        <v>17100</v>
      </c>
      <c r="F39" s="1" t="s">
        <v>33</v>
      </c>
    </row>
    <row r="40" spans="1:6" x14ac:dyDescent="0.35">
      <c r="A40" s="1" t="s">
        <v>80</v>
      </c>
      <c r="B40" s="1">
        <v>5</v>
      </c>
      <c r="C40" s="11">
        <v>3600000</v>
      </c>
      <c r="D40" s="12">
        <v>0.23</v>
      </c>
      <c r="E40" s="11">
        <v>62100</v>
      </c>
      <c r="F40" s="1" t="s">
        <v>33</v>
      </c>
    </row>
    <row r="41" spans="1:6" x14ac:dyDescent="0.35">
      <c r="A41" s="1" t="s">
        <v>80</v>
      </c>
      <c r="B41" s="1">
        <v>6</v>
      </c>
      <c r="C41" s="11">
        <v>4800000</v>
      </c>
      <c r="D41" s="12">
        <v>0.30499999999999999</v>
      </c>
      <c r="E41" s="11">
        <v>540000</v>
      </c>
      <c r="F41" s="1" t="s">
        <v>33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"/>
  <sheetViews>
    <sheetView showGridLines="0" workbookViewId="0">
      <selection activeCell="B6" sqref="B6"/>
    </sheetView>
  </sheetViews>
  <sheetFormatPr defaultRowHeight="14.5" x14ac:dyDescent="0.35"/>
  <cols>
    <col min="1" max="1" width="50" customWidth="1"/>
    <col min="2" max="2" width="24" customWidth="1"/>
  </cols>
  <sheetData>
    <row r="1" spans="1:6" ht="22" customHeight="1" x14ac:dyDescent="0.35">
      <c r="A1" s="30" t="s">
        <v>81</v>
      </c>
      <c r="B1" s="31"/>
      <c r="C1" s="31"/>
      <c r="D1" s="31"/>
      <c r="E1" s="31"/>
      <c r="F1" s="31"/>
    </row>
    <row r="2" spans="1:6" x14ac:dyDescent="0.35">
      <c r="A2" s="1"/>
      <c r="B2" s="1"/>
      <c r="C2" s="1"/>
      <c r="D2" s="1"/>
      <c r="E2" s="1"/>
      <c r="F2" s="1"/>
    </row>
    <row r="3" spans="1:6" x14ac:dyDescent="0.35">
      <c r="A3" s="28" t="s">
        <v>82</v>
      </c>
      <c r="B3" s="29"/>
      <c r="C3" s="29"/>
      <c r="D3" s="29"/>
      <c r="E3" s="1"/>
      <c r="F3" s="1"/>
    </row>
    <row r="4" spans="1:6" x14ac:dyDescent="0.35">
      <c r="A4" s="8" t="s">
        <v>83</v>
      </c>
      <c r="B4" s="4" t="s">
        <v>84</v>
      </c>
      <c r="C4" s="1"/>
      <c r="D4" s="1"/>
      <c r="E4" s="1"/>
      <c r="F4" s="1"/>
    </row>
    <row r="5" spans="1:6" x14ac:dyDescent="0.35">
      <c r="A5" s="8" t="s">
        <v>85</v>
      </c>
      <c r="B5" s="4" t="s">
        <v>213</v>
      </c>
      <c r="C5" s="1"/>
      <c r="D5" s="1"/>
      <c r="E5" s="1"/>
      <c r="F5" s="1"/>
    </row>
    <row r="6" spans="1:6" x14ac:dyDescent="0.35">
      <c r="A6" s="8" t="s">
        <v>87</v>
      </c>
      <c r="B6" s="13">
        <v>600000</v>
      </c>
      <c r="C6" s="1"/>
      <c r="D6" s="1"/>
      <c r="E6" s="1"/>
      <c r="F6" s="1"/>
    </row>
    <row r="7" spans="1:6" x14ac:dyDescent="0.35">
      <c r="A7" s="8" t="s">
        <v>88</v>
      </c>
      <c r="B7" s="14">
        <v>0.5</v>
      </c>
      <c r="C7" s="1"/>
      <c r="D7" s="1"/>
      <c r="E7" s="1"/>
      <c r="F7" s="1"/>
    </row>
    <row r="8" spans="1:6" x14ac:dyDescent="0.35">
      <c r="A8" s="8" t="s">
        <v>89</v>
      </c>
      <c r="B8" s="15">
        <f>B6</f>
        <v>600000</v>
      </c>
      <c r="C8" s="1"/>
      <c r="D8" s="1"/>
      <c r="E8" s="1"/>
      <c r="F8" s="1"/>
    </row>
    <row r="9" spans="1:6" x14ac:dyDescent="0.35">
      <c r="A9" s="8" t="s">
        <v>90</v>
      </c>
      <c r="B9" s="13">
        <v>180000</v>
      </c>
      <c r="C9" s="1"/>
      <c r="D9" s="1"/>
      <c r="E9" s="1"/>
      <c r="F9" s="1"/>
    </row>
    <row r="10" spans="1:6" x14ac:dyDescent="0.35">
      <c r="A10" s="8" t="s">
        <v>91</v>
      </c>
      <c r="B10" s="16">
        <f>IF(B8=0,0,B9/B8)</f>
        <v>0.3</v>
      </c>
      <c r="C10" s="1"/>
      <c r="D10" s="1"/>
      <c r="E10" s="1"/>
      <c r="F10" s="1"/>
    </row>
    <row r="11" spans="1:6" x14ac:dyDescent="0.35">
      <c r="A11" s="8" t="s">
        <v>92</v>
      </c>
      <c r="B11" s="4" t="s">
        <v>80</v>
      </c>
      <c r="C11" s="1"/>
      <c r="D11" s="1"/>
      <c r="E11" s="1"/>
      <c r="F11" s="1"/>
    </row>
    <row r="12" spans="1:6" x14ac:dyDescent="0.35">
      <c r="A12" s="8" t="s">
        <v>93</v>
      </c>
      <c r="B12" s="14">
        <v>0.18</v>
      </c>
      <c r="C12" s="1"/>
      <c r="D12" s="1"/>
      <c r="E12" s="1"/>
      <c r="F12" s="1"/>
    </row>
    <row r="13" spans="1:6" x14ac:dyDescent="0.35">
      <c r="A13" s="8" t="s">
        <v>94</v>
      </c>
      <c r="B13" s="14">
        <v>0.22</v>
      </c>
      <c r="C13" s="1"/>
      <c r="D13" s="1"/>
      <c r="E13" s="1"/>
      <c r="F13" s="1"/>
    </row>
    <row r="14" spans="1:6" x14ac:dyDescent="0.35">
      <c r="A14" s="8" t="s">
        <v>95</v>
      </c>
      <c r="B14" s="14">
        <v>0.03</v>
      </c>
      <c r="C14" s="1"/>
      <c r="D14" s="1"/>
      <c r="E14" s="1"/>
      <c r="F14" s="1"/>
    </row>
    <row r="15" spans="1:6" x14ac:dyDescent="0.35">
      <c r="A15" s="8" t="s">
        <v>96</v>
      </c>
      <c r="B15" s="14">
        <v>0.12</v>
      </c>
      <c r="C15" s="1"/>
      <c r="D15" s="1"/>
      <c r="E15" s="1"/>
      <c r="F15" s="1"/>
    </row>
    <row r="16" spans="1:6" x14ac:dyDescent="0.35">
      <c r="A16" s="8" t="s">
        <v>97</v>
      </c>
      <c r="B16" s="14">
        <v>1</v>
      </c>
      <c r="C16" s="1"/>
      <c r="D16" s="1"/>
      <c r="E16" s="1"/>
      <c r="F16" s="1"/>
    </row>
    <row r="17" spans="1:6" x14ac:dyDescent="0.35">
      <c r="A17" s="8" t="s">
        <v>98</v>
      </c>
      <c r="B17" s="14">
        <v>1</v>
      </c>
      <c r="C17" s="1"/>
      <c r="D17" s="1"/>
      <c r="E17" s="1"/>
      <c r="F17" s="1"/>
    </row>
    <row r="18" spans="1:6" x14ac:dyDescent="0.35">
      <c r="A18" s="8" t="s">
        <v>99</v>
      </c>
      <c r="B18" s="14">
        <v>0.26500000000000001</v>
      </c>
      <c r="C18" s="1"/>
      <c r="D18" s="1"/>
      <c r="E18" s="1"/>
      <c r="F18" s="1"/>
    </row>
    <row r="19" spans="1:6" x14ac:dyDescent="0.35">
      <c r="A19" s="8" t="s">
        <v>100</v>
      </c>
      <c r="B19" s="14">
        <v>0</v>
      </c>
      <c r="C19" s="1"/>
      <c r="D19" s="1"/>
      <c r="E19" s="1"/>
      <c r="F19" s="1"/>
    </row>
    <row r="20" spans="1:6" x14ac:dyDescent="0.35">
      <c r="A20" s="8" t="s">
        <v>101</v>
      </c>
      <c r="B20" s="4">
        <v>2026</v>
      </c>
      <c r="C20" s="1"/>
      <c r="D20" s="1"/>
      <c r="E20" s="1"/>
      <c r="F20" s="1"/>
    </row>
    <row r="21" spans="1:6" x14ac:dyDescent="0.35">
      <c r="A21" s="1"/>
      <c r="B21" s="1"/>
      <c r="C21" s="1"/>
      <c r="D21" s="1"/>
      <c r="E21" s="1"/>
      <c r="F21" s="1"/>
    </row>
    <row r="22" spans="1:6" x14ac:dyDescent="0.35">
      <c r="A22" s="1"/>
      <c r="B22" s="1"/>
      <c r="C22" s="1"/>
      <c r="D22" s="1"/>
      <c r="E22" s="1"/>
      <c r="F22" s="1"/>
    </row>
    <row r="23" spans="1:6" x14ac:dyDescent="0.35">
      <c r="A23" s="28" t="s">
        <v>102</v>
      </c>
      <c r="B23" s="29"/>
      <c r="C23" s="29"/>
      <c r="D23" s="29"/>
      <c r="E23" s="1"/>
      <c r="F23" s="1"/>
    </row>
    <row r="24" spans="1:6" x14ac:dyDescent="0.35">
      <c r="A24" s="8" t="s">
        <v>103</v>
      </c>
      <c r="B24" s="17" t="str">
        <f>IF(B8&lt;=Fontes_Premissas!$B$5,"Dentro do limite","Acima do limite do SN")</f>
        <v>Dentro do limite</v>
      </c>
      <c r="C24" s="1"/>
      <c r="D24" s="1"/>
      <c r="E24" s="1"/>
      <c r="F24" s="1"/>
    </row>
    <row r="25" spans="1:6" x14ac:dyDescent="0.35">
      <c r="A25" s="8" t="s">
        <v>104</v>
      </c>
      <c r="B25" s="17" t="str">
        <f>IF(B10&gt;=0.28,"Igual/Superior a 28%","Inferior a 28%")</f>
        <v>Igual/Superior a 28%</v>
      </c>
      <c r="C25" s="1"/>
      <c r="D25" s="1"/>
      <c r="E25" s="1"/>
      <c r="F25" s="1"/>
    </row>
    <row r="26" spans="1:6" ht="29" x14ac:dyDescent="0.35">
      <c r="A26" s="8" t="s">
        <v>105</v>
      </c>
      <c r="B26" s="17" t="str">
        <f>IF(AND(B5="Serviços",OR(B11="III",B11="V")),"Se a atividade estiver sujeita ao fator R, revisar III x V.","Validar enquadramento legal e CNAE.")</f>
        <v>Validar enquadramento legal e CNAE.</v>
      </c>
      <c r="C26" s="1"/>
      <c r="D26" s="1"/>
      <c r="E26" s="1"/>
      <c r="F26" s="1"/>
    </row>
  </sheetData>
  <mergeCells count="3">
    <mergeCell ref="A23:D23"/>
    <mergeCell ref="A1:F1"/>
    <mergeCell ref="A3:D3"/>
  </mergeCells>
  <conditionalFormatting sqref="B24">
    <cfRule type="expression" dxfId="1" priority="1">
      <formula>$B$24="Acima do limite do SN"</formula>
    </cfRule>
  </conditionalFormatting>
  <conditionalFormatting sqref="B25">
    <cfRule type="expression" dxfId="0" priority="2">
      <formula>$B$25="Inferior a 28%"</formula>
    </cfRule>
  </conditionalFormatting>
  <dataValidations count="3">
    <dataValidation type="list" sqref="B5" xr:uid="{00000000-0002-0000-0300-000000000000}">
      <formula1>"Comércio,Indústria,Serviços"</formula1>
    </dataValidation>
    <dataValidation type="list" sqref="B11" xr:uid="{00000000-0002-0000-0300-000001000000}">
      <formula1>"I,II,III,IV,V"</formula1>
    </dataValidation>
    <dataValidation type="list" sqref="B20" xr:uid="{00000000-0002-0000-0300-000002000000}">
      <formula1>"2026,2027,2029,2030,2031,2032,2033"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3"/>
  <sheetViews>
    <sheetView showGridLines="0" workbookViewId="0">
      <selection activeCell="B9" sqref="B9"/>
    </sheetView>
  </sheetViews>
  <sheetFormatPr defaultRowHeight="14.5" x14ac:dyDescent="0.35"/>
  <cols>
    <col min="1" max="1" width="46" customWidth="1"/>
    <col min="2" max="2" width="38" customWidth="1"/>
  </cols>
  <sheetData>
    <row r="1" spans="1:5" ht="22" customHeight="1" x14ac:dyDescent="0.35">
      <c r="A1" s="30" t="s">
        <v>106</v>
      </c>
      <c r="B1" s="31"/>
      <c r="C1" s="31"/>
      <c r="D1" s="31"/>
      <c r="E1" s="31"/>
    </row>
    <row r="2" spans="1:5" x14ac:dyDescent="0.35">
      <c r="A2" s="1"/>
      <c r="B2" s="1"/>
      <c r="C2" s="1"/>
      <c r="D2" s="1"/>
      <c r="E2" s="1"/>
    </row>
    <row r="3" spans="1:5" x14ac:dyDescent="0.35">
      <c r="A3" s="1"/>
      <c r="B3" s="1"/>
      <c r="C3" s="1"/>
      <c r="D3" s="1"/>
      <c r="E3" s="1"/>
    </row>
    <row r="4" spans="1:5" x14ac:dyDescent="0.35">
      <c r="A4" s="8" t="s">
        <v>107</v>
      </c>
      <c r="B4" s="18">
        <f>Inputs!B6</f>
        <v>600000</v>
      </c>
      <c r="C4" s="1"/>
      <c r="D4" s="1"/>
      <c r="E4" s="1"/>
    </row>
    <row r="5" spans="1:5" x14ac:dyDescent="0.35">
      <c r="A5" s="8" t="s">
        <v>108</v>
      </c>
      <c r="B5" s="18">
        <f>Inputs!B8</f>
        <v>600000</v>
      </c>
      <c r="C5" s="1"/>
      <c r="D5" s="1"/>
      <c r="E5" s="1"/>
    </row>
    <row r="6" spans="1:5" x14ac:dyDescent="0.35">
      <c r="A6" s="8" t="s">
        <v>109</v>
      </c>
      <c r="B6" s="19" t="str">
        <f>Inputs!B11</f>
        <v>V</v>
      </c>
      <c r="C6" s="1"/>
      <c r="D6" s="1"/>
      <c r="E6" s="1"/>
    </row>
    <row r="7" spans="1:5" x14ac:dyDescent="0.35">
      <c r="A7" s="8" t="s">
        <v>91</v>
      </c>
      <c r="B7" s="20">
        <f>Inputs!B10</f>
        <v>0.3</v>
      </c>
      <c r="C7" s="1"/>
      <c r="D7" s="1"/>
      <c r="E7" s="1"/>
    </row>
    <row r="8" spans="1:5" x14ac:dyDescent="0.35">
      <c r="A8" s="8" t="s">
        <v>110</v>
      </c>
      <c r="B8" s="21">
        <f>IF(B5&lt;=180000,1,IF(B5&lt;=360000,2,IF(B5&lt;=720000,3,IF(B5&lt;=1800000,4,IF(B5&lt;=3600000,5,IF(B5&lt;=4800000,6,7))))))</f>
        <v>3</v>
      </c>
      <c r="C8" s="1"/>
      <c r="D8" s="1"/>
      <c r="E8" s="1"/>
    </row>
    <row r="9" spans="1:5" x14ac:dyDescent="0.35">
      <c r="A9" s="8" t="s">
        <v>73</v>
      </c>
      <c r="B9" s="22">
        <f>IF(B8&gt;6,0,IF(B6="I",INDEX(TaxTables!$D$4:$D$9,B8),IF(B6="II",INDEX(TaxTables!$D$12:$D$17,B8),IF(B6="III",INDEX(TaxTables!$D$20:$D$25,B8),IF(B6="IV",INDEX(TaxTables!$D$28:$D$33,B8),IF(B6="V",INDEX(TaxTables!$D$36:$D$41,B8),0))))))</f>
        <v>0.19500000000000001</v>
      </c>
      <c r="C9" s="1"/>
      <c r="D9" s="1"/>
      <c r="E9" s="1"/>
    </row>
    <row r="10" spans="1:5" x14ac:dyDescent="0.35">
      <c r="A10" s="8" t="s">
        <v>74</v>
      </c>
      <c r="B10" s="23">
        <f>IF(B8&gt;6,0,IF(B6="I",INDEX(TaxTables!$E$4:$E$9,B8),IF(B6="II",INDEX(TaxTables!$E$12:$E$17,B8),IF(B6="III",INDEX(TaxTables!$E$20:$E$25,B8),IF(B6="IV",INDEX(TaxTables!$E$28:$E$33,B8),IF(B6="V",INDEX(TaxTables!$E$36:$E$41,B8),0))))))</f>
        <v>9900</v>
      </c>
      <c r="C10" s="1"/>
      <c r="D10" s="1"/>
      <c r="E10" s="1"/>
    </row>
    <row r="11" spans="1:5" x14ac:dyDescent="0.35">
      <c r="A11" s="8" t="s">
        <v>111</v>
      </c>
      <c r="B11" s="22">
        <f>IF(OR(B5=0,B8&gt;6),0,((B5*B9)-B10)/B5)</f>
        <v>0.17849999999999999</v>
      </c>
      <c r="C11" s="1"/>
      <c r="D11" s="1"/>
      <c r="E11" s="1"/>
    </row>
    <row r="12" spans="1:5" x14ac:dyDescent="0.35">
      <c r="A12" s="8" t="s">
        <v>112</v>
      </c>
      <c r="B12" s="23">
        <f>IF(B8&gt;6,0,B4*B11)</f>
        <v>107100</v>
      </c>
      <c r="C12" s="1"/>
      <c r="D12" s="1"/>
      <c r="E12" s="1"/>
    </row>
    <row r="13" spans="1:5" x14ac:dyDescent="0.35">
      <c r="A13" s="8" t="s">
        <v>113</v>
      </c>
      <c r="B13" s="23">
        <f>IF(B6="IV",Inputs!B9*Fontes_Premissas!$B$14,0)</f>
        <v>0</v>
      </c>
      <c r="C13" s="1"/>
      <c r="D13" s="1"/>
      <c r="E13" s="1"/>
    </row>
    <row r="14" spans="1:5" x14ac:dyDescent="0.35">
      <c r="A14" s="8" t="s">
        <v>114</v>
      </c>
      <c r="B14" s="23">
        <f>B12+B13</f>
        <v>107100</v>
      </c>
      <c r="C14" s="1"/>
      <c r="D14" s="1"/>
      <c r="E14" s="1"/>
    </row>
    <row r="15" spans="1:5" x14ac:dyDescent="0.35">
      <c r="A15" s="8" t="s">
        <v>115</v>
      </c>
      <c r="B15" s="22">
        <f>IF(B4=0,0,B14/B4)</f>
        <v>0.17849999999999999</v>
      </c>
      <c r="C15" s="1"/>
      <c r="D15" s="1"/>
      <c r="E15" s="1"/>
    </row>
    <row r="16" spans="1:5" x14ac:dyDescent="0.35">
      <c r="A16" s="8" t="s">
        <v>116</v>
      </c>
      <c r="B16" s="17" t="str">
        <f>IF(B5&lt;=Fontes_Premissas!$B$5,"Elegível por limite de receita","Acima do limite do Simples")</f>
        <v>Elegível por limite de receita</v>
      </c>
      <c r="C16" s="1"/>
      <c r="D16" s="1"/>
      <c r="E16" s="1"/>
    </row>
    <row r="17" spans="1:5" x14ac:dyDescent="0.35">
      <c r="A17" s="8" t="s">
        <v>30</v>
      </c>
      <c r="B17" s="17" t="str">
        <f>IF(AND(Inputs!B5="Serviços",OR(B6="III",B6="V")),IF(B7&gt;=0.28,"Se a atividade estiver sujeita ao fator R, III tende a prevalecer.","Se a atividade estiver sujeita ao fator R, V tende a prevalecer."),"Validar CNAE, vedação e regra específica.")</f>
        <v>Validar CNAE, vedação e regra específica.</v>
      </c>
      <c r="C17" s="1"/>
      <c r="D17" s="1"/>
      <c r="E17" s="1"/>
    </row>
    <row r="18" spans="1:5" x14ac:dyDescent="0.35">
      <c r="A18" s="1"/>
      <c r="B18" s="1"/>
      <c r="C18" s="1"/>
      <c r="D18" s="1"/>
      <c r="E18" s="1"/>
    </row>
    <row r="19" spans="1:5" x14ac:dyDescent="0.35">
      <c r="A19" s="1"/>
      <c r="B19" s="1"/>
      <c r="C19" s="1"/>
      <c r="D19" s="1"/>
      <c r="E19" s="1"/>
    </row>
    <row r="20" spans="1:5" x14ac:dyDescent="0.35">
      <c r="A20" s="28" t="s">
        <v>117</v>
      </c>
      <c r="B20" s="29"/>
      <c r="C20" s="29"/>
      <c r="D20" s="29"/>
      <c r="E20" s="29"/>
    </row>
    <row r="21" spans="1:5" ht="29" x14ac:dyDescent="0.35">
      <c r="A21" s="3" t="s">
        <v>118</v>
      </c>
      <c r="B21" s="1"/>
      <c r="C21" s="1"/>
      <c r="D21" s="1"/>
      <c r="E21" s="1"/>
    </row>
    <row r="22" spans="1:5" ht="29" x14ac:dyDescent="0.35">
      <c r="A22" s="3" t="s">
        <v>119</v>
      </c>
      <c r="B22" s="1"/>
      <c r="C22" s="1"/>
      <c r="D22" s="1"/>
      <c r="E22" s="1"/>
    </row>
    <row r="23" spans="1:5" ht="29" x14ac:dyDescent="0.35">
      <c r="A23" s="3" t="s">
        <v>120</v>
      </c>
      <c r="B23" s="1"/>
      <c r="C23" s="1"/>
      <c r="D23" s="1"/>
      <c r="E23" s="1"/>
    </row>
  </sheetData>
  <mergeCells count="2">
    <mergeCell ref="A1:E1"/>
    <mergeCell ref="A20:E20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2"/>
  <sheetViews>
    <sheetView showGridLines="0" workbookViewId="0">
      <selection sqref="A1:E1"/>
    </sheetView>
  </sheetViews>
  <sheetFormatPr defaultRowHeight="14.5" x14ac:dyDescent="0.35"/>
  <cols>
    <col min="1" max="1" width="46" customWidth="1"/>
    <col min="2" max="2" width="38" customWidth="1"/>
  </cols>
  <sheetData>
    <row r="1" spans="1:5" ht="22" customHeight="1" x14ac:dyDescent="0.35">
      <c r="A1" s="30" t="s">
        <v>121</v>
      </c>
      <c r="B1" s="31"/>
      <c r="C1" s="31"/>
      <c r="D1" s="31"/>
      <c r="E1" s="31"/>
    </row>
    <row r="2" spans="1:5" x14ac:dyDescent="0.35">
      <c r="A2" s="1"/>
      <c r="B2" s="1"/>
      <c r="C2" s="1"/>
      <c r="D2" s="1"/>
      <c r="E2" s="1"/>
    </row>
    <row r="3" spans="1:5" x14ac:dyDescent="0.35">
      <c r="A3" s="1"/>
      <c r="B3" s="1"/>
      <c r="C3" s="1"/>
      <c r="D3" s="1"/>
      <c r="E3" s="1"/>
    </row>
    <row r="4" spans="1:5" x14ac:dyDescent="0.35">
      <c r="A4" s="8" t="s">
        <v>107</v>
      </c>
      <c r="B4" s="24">
        <f>Inputs!B6</f>
        <v>600000</v>
      </c>
      <c r="C4" s="1"/>
      <c r="D4" s="1"/>
      <c r="E4" s="1"/>
    </row>
    <row r="5" spans="1:5" x14ac:dyDescent="0.35">
      <c r="A5" s="8" t="s">
        <v>85</v>
      </c>
      <c r="B5" s="6" t="str">
        <f>Inputs!B5</f>
        <v>Comércio</v>
      </c>
      <c r="C5" s="1"/>
      <c r="D5" s="1"/>
      <c r="E5" s="1"/>
    </row>
    <row r="6" spans="1:5" x14ac:dyDescent="0.35">
      <c r="A6" s="8" t="s">
        <v>122</v>
      </c>
      <c r="B6" s="16">
        <f>IF(B5="Serviços",Inputs!B14,Inputs!B15)</f>
        <v>0.12</v>
      </c>
      <c r="C6" s="1"/>
      <c r="D6" s="1"/>
      <c r="E6" s="1"/>
    </row>
    <row r="7" spans="1:5" x14ac:dyDescent="0.35">
      <c r="A7" s="8" t="s">
        <v>123</v>
      </c>
      <c r="B7" s="15">
        <f>B4*IF(B5="Serviços",Fontes_Premissas!$B$17,Fontes_Premissas!$B$15)</f>
        <v>48000</v>
      </c>
      <c r="C7" s="1"/>
      <c r="D7" s="1"/>
      <c r="E7" s="1"/>
    </row>
    <row r="8" spans="1:5" x14ac:dyDescent="0.35">
      <c r="A8" s="8" t="s">
        <v>124</v>
      </c>
      <c r="B8" s="15">
        <f>B4*IF(B5="Serviços",Fontes_Premissas!$B$18,Fontes_Premissas!$B$16)</f>
        <v>72000</v>
      </c>
      <c r="C8" s="1"/>
      <c r="D8" s="1"/>
      <c r="E8" s="1"/>
    </row>
    <row r="9" spans="1:5" x14ac:dyDescent="0.35">
      <c r="A9" s="8" t="s">
        <v>42</v>
      </c>
      <c r="B9" s="15">
        <f>B7*Fontes_Premissas!$B$10</f>
        <v>7200</v>
      </c>
      <c r="C9" s="1"/>
      <c r="D9" s="1"/>
      <c r="E9" s="1"/>
    </row>
    <row r="10" spans="1:5" x14ac:dyDescent="0.35">
      <c r="A10" s="8" t="s">
        <v>43</v>
      </c>
      <c r="B10" s="15">
        <f>MAX(B7-Fontes_Premissas!$B$12,0)*Fontes_Premissas!$B$11</f>
        <v>0</v>
      </c>
      <c r="C10" s="1"/>
      <c r="D10" s="1"/>
      <c r="E10" s="1"/>
    </row>
    <row r="11" spans="1:5" x14ac:dyDescent="0.35">
      <c r="A11" s="8" t="s">
        <v>46</v>
      </c>
      <c r="B11" s="15">
        <f>B8*Fontes_Premissas!$B$13</f>
        <v>6480</v>
      </c>
      <c r="C11" s="1"/>
      <c r="D11" s="1"/>
      <c r="E11" s="1"/>
    </row>
    <row r="12" spans="1:5" x14ac:dyDescent="0.35">
      <c r="A12" s="8" t="s">
        <v>125</v>
      </c>
      <c r="B12" s="15">
        <f>B4*Fontes_Premissas!$B$6</f>
        <v>3900</v>
      </c>
      <c r="C12" s="1"/>
      <c r="D12" s="1"/>
      <c r="E12" s="1"/>
    </row>
    <row r="13" spans="1:5" x14ac:dyDescent="0.35">
      <c r="A13" s="8" t="s">
        <v>126</v>
      </c>
      <c r="B13" s="15">
        <f>B4*Fontes_Premissas!$B$7</f>
        <v>18000</v>
      </c>
      <c r="C13" s="1"/>
      <c r="D13" s="1"/>
      <c r="E13" s="1"/>
    </row>
    <row r="14" spans="1:5" x14ac:dyDescent="0.35">
      <c r="A14" s="8" t="s">
        <v>127</v>
      </c>
      <c r="B14" s="15">
        <f>B4*B6</f>
        <v>72000</v>
      </c>
      <c r="C14" s="1"/>
      <c r="D14" s="1"/>
      <c r="E14" s="1"/>
    </row>
    <row r="15" spans="1:5" x14ac:dyDescent="0.35">
      <c r="A15" s="8" t="s">
        <v>114</v>
      </c>
      <c r="B15" s="15">
        <f>SUM(B9:B14)</f>
        <v>107580</v>
      </c>
      <c r="C15" s="1"/>
      <c r="D15" s="1"/>
      <c r="E15" s="1"/>
    </row>
    <row r="16" spans="1:5" x14ac:dyDescent="0.35">
      <c r="A16" s="8" t="s">
        <v>115</v>
      </c>
      <c r="B16" s="16">
        <f>IF(B4=0,0,B15/B4)</f>
        <v>0.17929999999999999</v>
      </c>
      <c r="C16" s="1"/>
      <c r="D16" s="1"/>
      <c r="E16" s="1"/>
    </row>
    <row r="17" spans="1:5" x14ac:dyDescent="0.35">
      <c r="A17" s="1"/>
      <c r="B17" s="1"/>
      <c r="C17" s="1"/>
      <c r="D17" s="1"/>
      <c r="E17" s="1"/>
    </row>
    <row r="18" spans="1:5" x14ac:dyDescent="0.35">
      <c r="A18" s="1"/>
      <c r="B18" s="1"/>
      <c r="C18" s="1"/>
      <c r="D18" s="1"/>
      <c r="E18" s="1"/>
    </row>
    <row r="19" spans="1:5" x14ac:dyDescent="0.35">
      <c r="A19" s="28" t="s">
        <v>117</v>
      </c>
      <c r="B19" s="29"/>
      <c r="C19" s="29"/>
      <c r="D19" s="29"/>
      <c r="E19" s="29"/>
    </row>
    <row r="20" spans="1:5" ht="29" x14ac:dyDescent="0.35">
      <c r="A20" s="3" t="s">
        <v>128</v>
      </c>
      <c r="B20" s="1"/>
      <c r="C20" s="1"/>
      <c r="D20" s="1"/>
      <c r="E20" s="1"/>
    </row>
    <row r="21" spans="1:5" ht="29" x14ac:dyDescent="0.35">
      <c r="A21" s="3" t="s">
        <v>129</v>
      </c>
      <c r="B21" s="1"/>
      <c r="C21" s="1"/>
      <c r="D21" s="1"/>
      <c r="E21" s="1"/>
    </row>
    <row r="22" spans="1:5" ht="29" x14ac:dyDescent="0.35">
      <c r="A22" s="3" t="s">
        <v>130</v>
      </c>
      <c r="B22" s="1"/>
      <c r="C22" s="1"/>
      <c r="D22" s="1"/>
      <c r="E22" s="1"/>
    </row>
  </sheetData>
  <mergeCells count="2">
    <mergeCell ref="A1:E1"/>
    <mergeCell ref="A19:E19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3"/>
  <sheetViews>
    <sheetView showGridLines="0" workbookViewId="0">
      <selection activeCell="B10" sqref="B10"/>
    </sheetView>
  </sheetViews>
  <sheetFormatPr defaultRowHeight="14.5" x14ac:dyDescent="0.35"/>
  <cols>
    <col min="1" max="1" width="46" customWidth="1"/>
    <col min="2" max="2" width="38" customWidth="1"/>
  </cols>
  <sheetData>
    <row r="1" spans="1:5" ht="22" customHeight="1" x14ac:dyDescent="0.35">
      <c r="A1" s="30" t="s">
        <v>131</v>
      </c>
      <c r="B1" s="31"/>
      <c r="C1" s="31"/>
      <c r="D1" s="31"/>
      <c r="E1" s="31"/>
    </row>
    <row r="2" spans="1:5" x14ac:dyDescent="0.35">
      <c r="A2" s="1"/>
      <c r="B2" s="1"/>
      <c r="C2" s="1"/>
      <c r="D2" s="1"/>
      <c r="E2" s="1"/>
    </row>
    <row r="3" spans="1:5" x14ac:dyDescent="0.35">
      <c r="A3" s="1"/>
      <c r="B3" s="1"/>
      <c r="C3" s="1"/>
      <c r="D3" s="1"/>
      <c r="E3" s="1"/>
    </row>
    <row r="4" spans="1:5" x14ac:dyDescent="0.35">
      <c r="A4" s="8" t="s">
        <v>107</v>
      </c>
      <c r="B4" s="24">
        <f>Inputs!B6</f>
        <v>600000</v>
      </c>
      <c r="C4" s="1"/>
      <c r="D4" s="1"/>
      <c r="E4" s="1"/>
    </row>
    <row r="5" spans="1:5" x14ac:dyDescent="0.35">
      <c r="A5" s="8" t="s">
        <v>132</v>
      </c>
      <c r="B5" s="15">
        <f>B4*Inputs!B12</f>
        <v>108000</v>
      </c>
      <c r="C5" s="1"/>
      <c r="D5" s="1"/>
      <c r="E5" s="1"/>
    </row>
    <row r="6" spans="1:5" x14ac:dyDescent="0.35">
      <c r="A6" s="8" t="s">
        <v>90</v>
      </c>
      <c r="B6" s="24">
        <f>Inputs!B9</f>
        <v>180000</v>
      </c>
      <c r="C6" s="1"/>
      <c r="D6" s="1"/>
      <c r="E6" s="1"/>
    </row>
    <row r="7" spans="1:5" x14ac:dyDescent="0.35">
      <c r="A7" s="8" t="s">
        <v>133</v>
      </c>
      <c r="B7" s="15">
        <f>B4*Inputs!B13</f>
        <v>132000</v>
      </c>
      <c r="C7" s="1"/>
      <c r="D7" s="1"/>
      <c r="E7" s="1"/>
    </row>
    <row r="8" spans="1:5" x14ac:dyDescent="0.35">
      <c r="A8" s="8" t="s">
        <v>134</v>
      </c>
      <c r="B8" s="15">
        <f>B4-B5-B6-B7</f>
        <v>180000</v>
      </c>
      <c r="C8" s="1"/>
      <c r="D8" s="1"/>
      <c r="E8" s="1"/>
    </row>
    <row r="9" spans="1:5" x14ac:dyDescent="0.35">
      <c r="A9" s="8" t="s">
        <v>135</v>
      </c>
      <c r="B9" s="15">
        <f>B4*(Fontes_Premissas!$B$8+Fontes_Premissas!$B$9)</f>
        <v>55500</v>
      </c>
      <c r="C9" s="1"/>
      <c r="D9" s="1"/>
      <c r="E9" s="1"/>
    </row>
    <row r="10" spans="1:5" x14ac:dyDescent="0.35">
      <c r="A10" s="8" t="s">
        <v>136</v>
      </c>
      <c r="B10" s="15">
        <f>B5*(Fontes_Premissas!$B$8+Fontes_Premissas!$B$9)*Inputs!B16</f>
        <v>9990</v>
      </c>
      <c r="C10" s="1"/>
      <c r="D10" s="1"/>
      <c r="E10" s="1"/>
    </row>
    <row r="11" spans="1:5" x14ac:dyDescent="0.35">
      <c r="A11" s="8" t="s">
        <v>137</v>
      </c>
      <c r="B11" s="15">
        <f>MAX(B9-B10,0)</f>
        <v>45510</v>
      </c>
      <c r="C11" s="1"/>
      <c r="D11" s="1"/>
      <c r="E11" s="1"/>
    </row>
    <row r="12" spans="1:5" x14ac:dyDescent="0.35">
      <c r="A12" s="8" t="s">
        <v>127</v>
      </c>
      <c r="B12" s="15">
        <f>B4*IF(Inputs!B5="Serviços",Inputs!B14,Inputs!B15)</f>
        <v>72000</v>
      </c>
      <c r="C12" s="1"/>
      <c r="D12" s="1"/>
      <c r="E12" s="1"/>
    </row>
    <row r="13" spans="1:5" x14ac:dyDescent="0.35">
      <c r="A13" s="8" t="s">
        <v>42</v>
      </c>
      <c r="B13" s="15">
        <f>MAX(B8,0)*Fontes_Premissas!$B$10</f>
        <v>27000</v>
      </c>
      <c r="C13" s="1"/>
      <c r="D13" s="1"/>
      <c r="E13" s="1"/>
    </row>
    <row r="14" spans="1:5" x14ac:dyDescent="0.35">
      <c r="A14" s="8" t="s">
        <v>43</v>
      </c>
      <c r="B14" s="15">
        <f>MAX(MAX(B8,0)-Fontes_Premissas!$B$12,0)*Fontes_Premissas!$B$11</f>
        <v>0</v>
      </c>
      <c r="C14" s="1"/>
      <c r="D14" s="1"/>
      <c r="E14" s="1"/>
    </row>
    <row r="15" spans="1:5" x14ac:dyDescent="0.35">
      <c r="A15" s="8" t="s">
        <v>46</v>
      </c>
      <c r="B15" s="15">
        <f>MAX(B8,0)*Fontes_Premissas!$B$13</f>
        <v>16200</v>
      </c>
      <c r="C15" s="1"/>
      <c r="D15" s="1"/>
      <c r="E15" s="1"/>
    </row>
    <row r="16" spans="1:5" x14ac:dyDescent="0.35">
      <c r="A16" s="8" t="s">
        <v>114</v>
      </c>
      <c r="B16" s="15">
        <f>SUM(B11:B15)</f>
        <v>160710</v>
      </c>
      <c r="C16" s="1"/>
      <c r="D16" s="1"/>
      <c r="E16" s="1"/>
    </row>
    <row r="17" spans="1:5" x14ac:dyDescent="0.35">
      <c r="A17" s="8" t="s">
        <v>115</v>
      </c>
      <c r="B17" s="16">
        <f>IF(B4=0,0,B16/B4)</f>
        <v>0.26784999999999998</v>
      </c>
      <c r="C17" s="1"/>
      <c r="D17" s="1"/>
      <c r="E17" s="1"/>
    </row>
    <row r="18" spans="1:5" x14ac:dyDescent="0.35">
      <c r="A18" s="1"/>
      <c r="B18" s="1"/>
      <c r="C18" s="1"/>
      <c r="D18" s="1"/>
      <c r="E18" s="1"/>
    </row>
    <row r="19" spans="1:5" x14ac:dyDescent="0.35">
      <c r="A19" s="1"/>
      <c r="B19" s="1"/>
      <c r="C19" s="1"/>
      <c r="D19" s="1"/>
      <c r="E19" s="1"/>
    </row>
    <row r="20" spans="1:5" x14ac:dyDescent="0.35">
      <c r="A20" s="28" t="s">
        <v>117</v>
      </c>
      <c r="B20" s="29"/>
      <c r="C20" s="29"/>
      <c r="D20" s="29"/>
      <c r="E20" s="29"/>
    </row>
    <row r="21" spans="1:5" ht="29" x14ac:dyDescent="0.35">
      <c r="A21" s="3" t="s">
        <v>138</v>
      </c>
      <c r="B21" s="1"/>
      <c r="C21" s="1"/>
      <c r="D21" s="1"/>
      <c r="E21" s="1"/>
    </row>
    <row r="22" spans="1:5" ht="43.5" x14ac:dyDescent="0.35">
      <c r="A22" s="3" t="s">
        <v>139</v>
      </c>
      <c r="B22" s="1"/>
      <c r="C22" s="1"/>
      <c r="D22" s="1"/>
      <c r="E22" s="1"/>
    </row>
    <row r="23" spans="1:5" ht="29" x14ac:dyDescent="0.35">
      <c r="A23" s="3" t="s">
        <v>140</v>
      </c>
      <c r="B23" s="1"/>
      <c r="C23" s="1"/>
      <c r="D23" s="1"/>
      <c r="E23" s="1"/>
    </row>
  </sheetData>
  <mergeCells count="2">
    <mergeCell ref="A1:E1"/>
    <mergeCell ref="A20:E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1"/>
  <sheetViews>
    <sheetView showGridLines="0" workbookViewId="0">
      <selection activeCell="B7" sqref="B7"/>
    </sheetView>
  </sheetViews>
  <sheetFormatPr defaultRowHeight="14.5" x14ac:dyDescent="0.35"/>
  <cols>
    <col min="1" max="1" width="46" customWidth="1"/>
    <col min="2" max="2" width="38" customWidth="1"/>
  </cols>
  <sheetData>
    <row r="1" spans="1:7" ht="22" customHeight="1" x14ac:dyDescent="0.35">
      <c r="A1" s="30" t="s">
        <v>141</v>
      </c>
      <c r="B1" s="31"/>
      <c r="C1" s="31"/>
      <c r="D1" s="31"/>
      <c r="E1" s="31"/>
      <c r="F1" s="31"/>
      <c r="G1" s="31"/>
    </row>
    <row r="2" spans="1:7" x14ac:dyDescent="0.35">
      <c r="A2" s="1"/>
      <c r="B2" s="1"/>
      <c r="C2" s="1"/>
      <c r="D2" s="1"/>
      <c r="E2" s="1"/>
      <c r="F2" s="1"/>
      <c r="G2" s="1"/>
    </row>
    <row r="3" spans="1:7" x14ac:dyDescent="0.35">
      <c r="A3" s="28" t="s">
        <v>142</v>
      </c>
      <c r="B3" s="29"/>
      <c r="C3" s="29"/>
      <c r="D3" s="29"/>
      <c r="E3" s="1"/>
      <c r="F3" s="1"/>
      <c r="G3" s="1"/>
    </row>
    <row r="4" spans="1:7" x14ac:dyDescent="0.35">
      <c r="A4" s="8" t="s">
        <v>107</v>
      </c>
      <c r="B4" s="24">
        <f>Inputs!B6</f>
        <v>600000</v>
      </c>
      <c r="C4" s="1"/>
      <c r="D4" s="1"/>
      <c r="E4" s="1"/>
      <c r="F4" s="1"/>
      <c r="G4" s="1"/>
    </row>
    <row r="5" spans="1:7" x14ac:dyDescent="0.35">
      <c r="A5" s="8" t="s">
        <v>143</v>
      </c>
      <c r="B5" s="25">
        <f>Inputs!B7</f>
        <v>0.5</v>
      </c>
      <c r="C5" s="1"/>
      <c r="D5" s="1"/>
      <c r="E5" s="1"/>
      <c r="F5" s="1"/>
      <c r="G5" s="1"/>
    </row>
    <row r="6" spans="1:7" x14ac:dyDescent="0.35">
      <c r="A6" s="8" t="s">
        <v>132</v>
      </c>
      <c r="B6" s="15">
        <f>Inputs!B6*Inputs!B12</f>
        <v>108000</v>
      </c>
      <c r="C6" s="1"/>
      <c r="D6" s="1"/>
      <c r="E6" s="1"/>
      <c r="F6" s="1"/>
      <c r="G6" s="1"/>
    </row>
    <row r="7" spans="1:7" x14ac:dyDescent="0.35">
      <c r="A7" s="8" t="s">
        <v>144</v>
      </c>
      <c r="B7" s="25">
        <f>Inputs!B18</f>
        <v>0.26500000000000001</v>
      </c>
      <c r="C7" s="1"/>
      <c r="D7" s="1"/>
      <c r="E7" s="1"/>
      <c r="F7" s="1"/>
      <c r="G7" s="1"/>
    </row>
    <row r="8" spans="1:7" x14ac:dyDescent="0.35">
      <c r="A8" s="8" t="s">
        <v>145</v>
      </c>
      <c r="B8" s="25">
        <f>Inputs!B17</f>
        <v>1</v>
      </c>
      <c r="C8" s="1"/>
      <c r="D8" s="1"/>
      <c r="E8" s="1"/>
      <c r="F8" s="1"/>
      <c r="G8" s="1"/>
    </row>
    <row r="9" spans="1:7" x14ac:dyDescent="0.35">
      <c r="A9" s="8" t="s">
        <v>146</v>
      </c>
      <c r="B9" s="25">
        <f>Inputs!B19</f>
        <v>0</v>
      </c>
      <c r="C9" s="1"/>
      <c r="D9" s="1"/>
      <c r="E9" s="1"/>
      <c r="F9" s="1"/>
      <c r="G9" s="1"/>
    </row>
    <row r="10" spans="1:7" x14ac:dyDescent="0.35">
      <c r="A10" s="8" t="s">
        <v>147</v>
      </c>
      <c r="B10" s="6">
        <f>Inputs!B20</f>
        <v>2026</v>
      </c>
      <c r="C10" s="1"/>
      <c r="D10" s="1"/>
      <c r="E10" s="1"/>
      <c r="F10" s="1"/>
      <c r="G10" s="1"/>
    </row>
    <row r="11" spans="1:7" x14ac:dyDescent="0.35">
      <c r="A11" s="1"/>
      <c r="B11" s="1"/>
      <c r="C11" s="1"/>
      <c r="D11" s="1"/>
      <c r="E11" s="1"/>
      <c r="F11" s="1"/>
      <c r="G11" s="1"/>
    </row>
    <row r="12" spans="1:7" x14ac:dyDescent="0.35">
      <c r="A12" s="1"/>
      <c r="B12" s="1"/>
      <c r="C12" s="1"/>
      <c r="D12" s="1"/>
      <c r="E12" s="1"/>
      <c r="F12" s="1"/>
      <c r="G12" s="1"/>
    </row>
    <row r="13" spans="1:7" x14ac:dyDescent="0.35">
      <c r="A13" s="28" t="s">
        <v>148</v>
      </c>
      <c r="B13" s="29"/>
      <c r="C13" s="29"/>
      <c r="D13" s="29"/>
      <c r="E13" s="1"/>
      <c r="F13" s="1"/>
      <c r="G13" s="1"/>
    </row>
    <row r="14" spans="1:7" x14ac:dyDescent="0.35">
      <c r="A14" s="8" t="s">
        <v>149</v>
      </c>
      <c r="B14" s="15">
        <f>B4*B7</f>
        <v>159000</v>
      </c>
      <c r="C14" s="1"/>
      <c r="D14" s="1"/>
      <c r="E14" s="1"/>
      <c r="F14" s="1"/>
      <c r="G14" s="1"/>
    </row>
    <row r="15" spans="1:7" x14ac:dyDescent="0.35">
      <c r="A15" s="8" t="s">
        <v>150</v>
      </c>
      <c r="B15" s="15">
        <f>B6*B7*B8</f>
        <v>28620</v>
      </c>
      <c r="C15" s="1"/>
      <c r="D15" s="1"/>
      <c r="E15" s="1"/>
      <c r="F15" s="1"/>
      <c r="G15" s="1"/>
    </row>
    <row r="16" spans="1:7" x14ac:dyDescent="0.35">
      <c r="A16" s="8" t="s">
        <v>151</v>
      </c>
      <c r="B16" s="15">
        <f>MAX(B14-B15,0)</f>
        <v>130380</v>
      </c>
      <c r="C16" s="1"/>
      <c r="D16" s="1"/>
      <c r="E16" s="1"/>
      <c r="F16" s="1"/>
      <c r="G16" s="1"/>
    </row>
    <row r="17" spans="1:7" x14ac:dyDescent="0.35">
      <c r="A17" s="8" t="s">
        <v>152</v>
      </c>
      <c r="B17" s="16">
        <f>IF(B4=0,0,B16/B4)</f>
        <v>0.21729999999999999</v>
      </c>
      <c r="C17" s="1"/>
      <c r="D17" s="1"/>
      <c r="E17" s="1"/>
      <c r="F17" s="1"/>
      <c r="G17" s="1"/>
    </row>
    <row r="18" spans="1:7" x14ac:dyDescent="0.35">
      <c r="A18" s="1"/>
      <c r="B18" s="1"/>
      <c r="C18" s="1"/>
      <c r="D18" s="1"/>
      <c r="E18" s="1"/>
      <c r="F18" s="1"/>
      <c r="G18" s="1"/>
    </row>
    <row r="19" spans="1:7" x14ac:dyDescent="0.35">
      <c r="A19" s="1"/>
      <c r="B19" s="1"/>
      <c r="C19" s="1"/>
      <c r="D19" s="1"/>
      <c r="E19" s="1"/>
      <c r="F19" s="1"/>
      <c r="G19" s="1"/>
    </row>
    <row r="20" spans="1:7" x14ac:dyDescent="0.35">
      <c r="A20" s="28" t="s">
        <v>153</v>
      </c>
      <c r="B20" s="29"/>
      <c r="C20" s="29"/>
      <c r="D20" s="29"/>
      <c r="E20" s="29"/>
      <c r="F20" s="1"/>
      <c r="G20" s="1"/>
    </row>
    <row r="21" spans="1:7" x14ac:dyDescent="0.35">
      <c r="A21" s="8" t="s">
        <v>154</v>
      </c>
      <c r="B21" s="23">
        <f>Simples_Calc!B14</f>
        <v>107100</v>
      </c>
      <c r="C21" s="1"/>
      <c r="D21" s="1"/>
      <c r="E21" s="1"/>
      <c r="F21" s="1"/>
      <c r="G21" s="1"/>
    </row>
    <row r="22" spans="1:7" x14ac:dyDescent="0.35">
      <c r="A22" s="8" t="s">
        <v>155</v>
      </c>
      <c r="B22" s="23">
        <f>B4*B5*MAX(B7-B9,0)</f>
        <v>79500</v>
      </c>
      <c r="C22" s="1"/>
      <c r="D22" s="1"/>
      <c r="E22" s="1"/>
      <c r="F22" s="1"/>
      <c r="G22" s="1"/>
    </row>
    <row r="23" spans="1:7" x14ac:dyDescent="0.35">
      <c r="A23" s="8" t="s">
        <v>156</v>
      </c>
      <c r="B23" s="23">
        <f>B21+B22</f>
        <v>186600</v>
      </c>
      <c r="C23" s="1"/>
      <c r="D23" s="1"/>
      <c r="E23" s="1"/>
      <c r="F23" s="1"/>
      <c r="G23" s="1"/>
    </row>
    <row r="24" spans="1:7" x14ac:dyDescent="0.35">
      <c r="A24" s="8" t="s">
        <v>157</v>
      </c>
      <c r="B24" s="22">
        <f>IF(B4=0,0,B23/B4)</f>
        <v>0.311</v>
      </c>
      <c r="C24" s="1"/>
      <c r="D24" s="1"/>
      <c r="E24" s="1"/>
      <c r="F24" s="1"/>
      <c r="G24" s="1"/>
    </row>
    <row r="25" spans="1:7" x14ac:dyDescent="0.35">
      <c r="A25" s="8" t="s">
        <v>158</v>
      </c>
      <c r="B25" s="17" t="str">
        <f>IF(B5&gt;=0.6,"Atenção: cliente B2B tende a valorizar crédito.","Menor pressão competitiva do crédito.")</f>
        <v>Menor pressão competitiva do crédito.</v>
      </c>
      <c r="C25" s="1"/>
      <c r="D25" s="1"/>
      <c r="E25" s="1"/>
      <c r="F25" s="1"/>
      <c r="G25" s="1"/>
    </row>
    <row r="26" spans="1:7" x14ac:dyDescent="0.35">
      <c r="A26" s="1"/>
      <c r="B26" s="1"/>
      <c r="C26" s="1"/>
      <c r="D26" s="1"/>
      <c r="E26" s="1"/>
      <c r="F26" s="1"/>
      <c r="G26" s="1"/>
    </row>
    <row r="27" spans="1:7" x14ac:dyDescent="0.35">
      <c r="A27" s="1"/>
      <c r="B27" s="1"/>
      <c r="C27" s="1"/>
      <c r="D27" s="1"/>
      <c r="E27" s="1"/>
      <c r="F27" s="1"/>
      <c r="G27" s="1"/>
    </row>
    <row r="28" spans="1:7" x14ac:dyDescent="0.35">
      <c r="A28" s="28" t="s">
        <v>159</v>
      </c>
      <c r="B28" s="29"/>
      <c r="C28" s="29"/>
      <c r="D28" s="29"/>
      <c r="E28" s="29"/>
      <c r="F28" s="29"/>
      <c r="G28" s="29"/>
    </row>
    <row r="29" spans="1:7" ht="29" x14ac:dyDescent="0.35">
      <c r="A29" s="3" t="s">
        <v>160</v>
      </c>
      <c r="B29" s="1"/>
      <c r="C29" s="1"/>
      <c r="D29" s="1"/>
      <c r="E29" s="1"/>
      <c r="F29" s="1"/>
      <c r="G29" s="1"/>
    </row>
    <row r="30" spans="1:7" ht="29" x14ac:dyDescent="0.35">
      <c r="A30" s="3" t="s">
        <v>161</v>
      </c>
      <c r="B30" s="1"/>
      <c r="C30" s="1"/>
      <c r="D30" s="1"/>
      <c r="E30" s="1"/>
      <c r="F30" s="1"/>
      <c r="G30" s="1"/>
    </row>
    <row r="31" spans="1:7" x14ac:dyDescent="0.35">
      <c r="A31" s="3" t="s">
        <v>64</v>
      </c>
      <c r="B31" s="1"/>
      <c r="C31" s="1"/>
      <c r="D31" s="1"/>
      <c r="E31" s="1"/>
      <c r="F31" s="1"/>
      <c r="G31" s="1"/>
    </row>
  </sheetData>
  <mergeCells count="5">
    <mergeCell ref="A1:G1"/>
    <mergeCell ref="A20:E20"/>
    <mergeCell ref="A3:D3"/>
    <mergeCell ref="A13:D13"/>
    <mergeCell ref="A28:G2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6"/>
  <sheetViews>
    <sheetView showGridLines="0" workbookViewId="0">
      <selection activeCell="E36" sqref="E36"/>
    </sheetView>
  </sheetViews>
  <sheetFormatPr defaultRowHeight="14.5" x14ac:dyDescent="0.35"/>
  <cols>
    <col min="1" max="1" width="30" customWidth="1"/>
    <col min="2" max="2" width="20" customWidth="1"/>
    <col min="3" max="3" width="16" customWidth="1"/>
    <col min="4" max="4" width="24" customWidth="1"/>
    <col min="5" max="5" width="36" customWidth="1"/>
    <col min="6" max="7" width="14" customWidth="1"/>
    <col min="8" max="8" width="16" customWidth="1"/>
  </cols>
  <sheetData>
    <row r="1" spans="1:8" ht="22" customHeight="1" x14ac:dyDescent="0.35">
      <c r="A1" s="30" t="s">
        <v>162</v>
      </c>
      <c r="B1" s="31"/>
      <c r="C1" s="31"/>
      <c r="D1" s="31"/>
      <c r="E1" s="31"/>
      <c r="F1" s="31"/>
      <c r="G1" s="31"/>
      <c r="H1" s="31"/>
    </row>
    <row r="2" spans="1:8" x14ac:dyDescent="0.35">
      <c r="A2" s="1"/>
      <c r="B2" s="1"/>
      <c r="C2" s="1"/>
      <c r="D2" s="1"/>
      <c r="E2" s="1"/>
      <c r="F2" s="1"/>
      <c r="G2" s="1"/>
      <c r="H2" s="1"/>
    </row>
    <row r="3" spans="1:8" x14ac:dyDescent="0.35">
      <c r="A3" s="28" t="s">
        <v>163</v>
      </c>
      <c r="B3" s="29"/>
      <c r="C3" s="29"/>
      <c r="D3" s="29"/>
      <c r="E3" s="29"/>
      <c r="F3" s="29"/>
      <c r="G3" s="29"/>
      <c r="H3" s="29"/>
    </row>
    <row r="4" spans="1:8" x14ac:dyDescent="0.35">
      <c r="A4" s="8" t="s">
        <v>83</v>
      </c>
      <c r="B4" s="6" t="str">
        <f>Inputs!B4</f>
        <v>Empresa exemplo B2B</v>
      </c>
      <c r="C4" s="8" t="s">
        <v>85</v>
      </c>
      <c r="D4" s="6" t="str">
        <f>Inputs!B5</f>
        <v>Comércio</v>
      </c>
      <c r="E4" s="8" t="s">
        <v>164</v>
      </c>
      <c r="F4" s="24">
        <f>Inputs!B6</f>
        <v>600000</v>
      </c>
      <c r="G4" s="8" t="s">
        <v>91</v>
      </c>
      <c r="H4" s="25">
        <f>Inputs!B10</f>
        <v>0.3</v>
      </c>
    </row>
    <row r="5" spans="1:8" x14ac:dyDescent="0.35">
      <c r="A5" s="1"/>
      <c r="B5" s="1"/>
      <c r="C5" s="1"/>
      <c r="D5" s="1"/>
      <c r="E5" s="1"/>
      <c r="F5" s="1"/>
      <c r="G5" s="1"/>
      <c r="H5" s="1"/>
    </row>
    <row r="6" spans="1:8" x14ac:dyDescent="0.35">
      <c r="A6" s="1"/>
      <c r="B6" s="1"/>
      <c r="C6" s="1"/>
      <c r="D6" s="1"/>
      <c r="E6" s="1"/>
      <c r="F6" s="1"/>
      <c r="G6" s="1"/>
      <c r="H6" s="1"/>
    </row>
    <row r="7" spans="1:8" x14ac:dyDescent="0.35">
      <c r="A7" s="28" t="s">
        <v>165</v>
      </c>
      <c r="B7" s="29"/>
      <c r="C7" s="29"/>
      <c r="D7" s="29"/>
      <c r="E7" s="29"/>
      <c r="F7" s="1"/>
      <c r="G7" s="1"/>
      <c r="H7" s="1"/>
    </row>
    <row r="8" spans="1:8" x14ac:dyDescent="0.35">
      <c r="A8" s="8" t="s">
        <v>166</v>
      </c>
      <c r="B8" s="8" t="s">
        <v>167</v>
      </c>
      <c r="C8" s="8" t="s">
        <v>168</v>
      </c>
      <c r="D8" s="8" t="s">
        <v>169</v>
      </c>
      <c r="E8" s="8" t="s">
        <v>170</v>
      </c>
      <c r="F8" s="1"/>
      <c r="G8" s="1"/>
      <c r="H8" s="1"/>
    </row>
    <row r="9" spans="1:8" x14ac:dyDescent="0.35">
      <c r="A9" s="1" t="s">
        <v>171</v>
      </c>
      <c r="B9" s="15">
        <f>Simples_Calc!B14</f>
        <v>107100</v>
      </c>
      <c r="C9" s="16">
        <f>Simples_Calc!B15</f>
        <v>0.17849999999999999</v>
      </c>
      <c r="D9" s="26">
        <f>1+COUNTIF($B$9:$B$11,"&lt;"&amp;B9)</f>
        <v>1</v>
      </c>
      <c r="E9" s="5" t="str">
        <f>IF(D9=1,"Menor carga atual","-")</f>
        <v>Menor carga atual</v>
      </c>
      <c r="F9" s="1"/>
      <c r="G9" s="1"/>
      <c r="H9" s="1"/>
    </row>
    <row r="10" spans="1:8" x14ac:dyDescent="0.35">
      <c r="A10" s="1" t="s">
        <v>172</v>
      </c>
      <c r="B10" s="15">
        <f>Presumido_Calc!B15</f>
        <v>107580</v>
      </c>
      <c r="C10" s="16">
        <f>Presumido_Calc!B16</f>
        <v>0.17929999999999999</v>
      </c>
      <c r="D10" s="26">
        <f>1+COUNTIF($B$9:$B$11,"&lt;"&amp;B10)</f>
        <v>2</v>
      </c>
      <c r="E10" s="5" t="str">
        <f>IF(D10=1,"Menor carga atual","-")</f>
        <v>-</v>
      </c>
      <c r="F10" s="1"/>
      <c r="G10" s="1"/>
      <c r="H10" s="1"/>
    </row>
    <row r="11" spans="1:8" x14ac:dyDescent="0.35">
      <c r="A11" s="1" t="s">
        <v>173</v>
      </c>
      <c r="B11" s="15">
        <f>Real_Calc!B16</f>
        <v>160710</v>
      </c>
      <c r="C11" s="16">
        <f>Real_Calc!B17</f>
        <v>0.26784999999999998</v>
      </c>
      <c r="D11" s="26">
        <f>1+COUNTIF($B$9:$B$11,"&lt;"&amp;B11)</f>
        <v>3</v>
      </c>
      <c r="E11" s="5" t="str">
        <f>IF(D11=1,"Menor carga atual","-")</f>
        <v>-</v>
      </c>
      <c r="F11" s="1"/>
      <c r="G11" s="1"/>
      <c r="H11" s="1"/>
    </row>
    <row r="12" spans="1:8" x14ac:dyDescent="0.35">
      <c r="A12" s="1"/>
      <c r="B12" s="1"/>
      <c r="C12" s="1"/>
      <c r="D12" s="1"/>
      <c r="E12" s="1"/>
      <c r="F12" s="1"/>
      <c r="G12" s="1"/>
      <c r="H12" s="1"/>
    </row>
    <row r="13" spans="1:8" x14ac:dyDescent="0.35">
      <c r="A13" s="1"/>
      <c r="B13" s="1"/>
      <c r="C13" s="1"/>
      <c r="D13" s="1"/>
      <c r="E13" s="1"/>
      <c r="F13" s="1"/>
      <c r="G13" s="1"/>
      <c r="H13" s="1"/>
    </row>
    <row r="14" spans="1:8" x14ac:dyDescent="0.35">
      <c r="A14" s="28" t="s">
        <v>174</v>
      </c>
      <c r="B14" s="29"/>
      <c r="C14" s="29"/>
      <c r="D14" s="29"/>
      <c r="E14" s="29"/>
      <c r="F14" s="29"/>
      <c r="G14" s="29"/>
      <c r="H14" s="29"/>
    </row>
    <row r="15" spans="1:8" x14ac:dyDescent="0.35">
      <c r="A15" s="8" t="s">
        <v>175</v>
      </c>
      <c r="B15" s="5" t="str">
        <f>IF(B9=MIN($B$9:$B$11),"Simples",IF(B10=MIN($B$9:$B$11),"Presumido","Real"))</f>
        <v>Simples</v>
      </c>
      <c r="C15" s="1"/>
      <c r="D15" s="8" t="s">
        <v>176</v>
      </c>
      <c r="E15" s="5" t="str">
        <f>IF(Reforma_Impacto!B22&gt;0,"B2B sensível a crédito: simular fora do SN.","Pressão competitiva do crédito aparentemente menor.")</f>
        <v>B2B sensível a crédito: simular fora do SN.</v>
      </c>
      <c r="F15" s="1"/>
      <c r="G15" s="1"/>
      <c r="H15" s="1"/>
    </row>
    <row r="16" spans="1:8" x14ac:dyDescent="0.35">
      <c r="A16" s="8" t="s">
        <v>177</v>
      </c>
      <c r="B16" s="16">
        <f>Reforma_Impacto!B17</f>
        <v>0.21729999999999999</v>
      </c>
      <c r="C16" s="1"/>
      <c r="D16" s="8" t="s">
        <v>178</v>
      </c>
      <c r="E16" s="16">
        <f>Reforma_Impacto!B24</f>
        <v>0.311</v>
      </c>
      <c r="F16" s="1"/>
      <c r="G16" s="1"/>
      <c r="H16" s="1"/>
    </row>
    <row r="17" spans="1:8" x14ac:dyDescent="0.35">
      <c r="A17" s="1"/>
      <c r="B17" s="1"/>
      <c r="C17" s="1"/>
      <c r="D17" s="1"/>
      <c r="E17" s="1"/>
      <c r="F17" s="1"/>
      <c r="G17" s="1"/>
      <c r="H17" s="1"/>
    </row>
    <row r="18" spans="1:8" x14ac:dyDescent="0.35">
      <c r="A18" s="1"/>
      <c r="B18" s="1"/>
      <c r="C18" s="1"/>
      <c r="D18" s="1"/>
      <c r="E18" s="1"/>
      <c r="F18" s="1"/>
      <c r="G18" s="8" t="s">
        <v>179</v>
      </c>
      <c r="H18" s="8" t="s">
        <v>27</v>
      </c>
    </row>
    <row r="19" spans="1:8" x14ac:dyDescent="0.35">
      <c r="A19" s="1"/>
      <c r="B19" s="1"/>
      <c r="C19" s="1"/>
      <c r="D19" s="1"/>
      <c r="E19" s="1"/>
      <c r="F19" s="1"/>
      <c r="G19" s="1" t="s">
        <v>171</v>
      </c>
      <c r="H19" s="15">
        <f>B9</f>
        <v>107100</v>
      </c>
    </row>
    <row r="20" spans="1:8" x14ac:dyDescent="0.35">
      <c r="A20" s="1"/>
      <c r="B20" s="1"/>
      <c r="C20" s="1"/>
      <c r="D20" s="1"/>
      <c r="E20" s="1"/>
      <c r="F20" s="1"/>
      <c r="G20" s="1" t="s">
        <v>172</v>
      </c>
      <c r="H20" s="15">
        <f>B10</f>
        <v>107580</v>
      </c>
    </row>
    <row r="21" spans="1:8" x14ac:dyDescent="0.35">
      <c r="A21" s="1"/>
      <c r="B21" s="1"/>
      <c r="C21" s="1"/>
      <c r="D21" s="1"/>
      <c r="E21" s="1"/>
      <c r="F21" s="1"/>
      <c r="G21" s="1" t="s">
        <v>173</v>
      </c>
      <c r="H21" s="15">
        <f>B11</f>
        <v>160710</v>
      </c>
    </row>
    <row r="22" spans="1:8" x14ac:dyDescent="0.35">
      <c r="A22" s="1"/>
      <c r="B22" s="1"/>
      <c r="C22" s="1"/>
      <c r="D22" s="1"/>
      <c r="E22" s="1"/>
      <c r="F22" s="1"/>
      <c r="G22" s="1"/>
      <c r="H22" s="1"/>
    </row>
    <row r="23" spans="1:8" x14ac:dyDescent="0.35">
      <c r="A23" s="1"/>
      <c r="B23" s="1"/>
      <c r="C23" s="1"/>
      <c r="D23" s="1"/>
      <c r="E23" s="1"/>
      <c r="F23" s="1"/>
      <c r="G23" s="8" t="s">
        <v>166</v>
      </c>
      <c r="H23" s="8" t="s">
        <v>180</v>
      </c>
    </row>
    <row r="24" spans="1:8" x14ac:dyDescent="0.35">
      <c r="A24" s="1"/>
      <c r="B24" s="1"/>
      <c r="C24" s="1"/>
      <c r="D24" s="1"/>
      <c r="E24" s="1"/>
      <c r="F24" s="1"/>
      <c r="G24" s="1" t="s">
        <v>171</v>
      </c>
      <c r="H24" s="27">
        <f>C9*100</f>
        <v>17.849999999999998</v>
      </c>
    </row>
    <row r="25" spans="1:8" x14ac:dyDescent="0.35">
      <c r="A25" s="1"/>
      <c r="B25" s="1"/>
      <c r="C25" s="1"/>
      <c r="D25" s="1"/>
      <c r="E25" s="1"/>
      <c r="F25" s="1"/>
      <c r="G25" s="1" t="s">
        <v>172</v>
      </c>
      <c r="H25" s="27">
        <f>C10*100</f>
        <v>17.93</v>
      </c>
    </row>
    <row r="26" spans="1:8" x14ac:dyDescent="0.35">
      <c r="A26" s="1"/>
      <c r="B26" s="1"/>
      <c r="C26" s="1"/>
      <c r="D26" s="1"/>
      <c r="E26" s="1"/>
      <c r="F26" s="1"/>
      <c r="G26" s="1" t="s">
        <v>173</v>
      </c>
      <c r="H26" s="27">
        <f>C11*100</f>
        <v>26.784999999999997</v>
      </c>
    </row>
  </sheetData>
  <mergeCells count="4">
    <mergeCell ref="A3:H3"/>
    <mergeCell ref="A14:H14"/>
    <mergeCell ref="A7:E7"/>
    <mergeCell ref="A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Guia_Uso</vt:lpstr>
      <vt:lpstr>Fontes_Premissas</vt:lpstr>
      <vt:lpstr>TaxTables</vt:lpstr>
      <vt:lpstr>Inputs</vt:lpstr>
      <vt:lpstr>Simples_Calc</vt:lpstr>
      <vt:lpstr>Presumido_Calc</vt:lpstr>
      <vt:lpstr>Real_Calc</vt:lpstr>
      <vt:lpstr>Reforma_Impacto</vt:lpstr>
      <vt:lpstr>Dashboard</vt:lpstr>
      <vt:lpstr>Sensibilidade</vt:lpstr>
      <vt:lpstr>Casos_Praticos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</dc:creator>
  <cp:lastModifiedBy>AFinanceiro</cp:lastModifiedBy>
  <dcterms:created xsi:type="dcterms:W3CDTF">2026-04-09T23:47:18Z</dcterms:created>
  <dcterms:modified xsi:type="dcterms:W3CDTF">2026-05-08T19:48:11Z</dcterms:modified>
</cp:coreProperties>
</file>